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D:\MATRICES DE RIESGO\MATRICES PROPUESTAS\"/>
    </mc:Choice>
  </mc:AlternateContent>
  <xr:revisionPtr revIDLastSave="0" documentId="8_{7339DF7A-051B-45BA-BEE4-CEEB764AD351}" xr6:coauthVersionLast="47" xr6:coauthVersionMax="47" xr10:uidLastSave="{00000000-0000-0000-0000-000000000000}"/>
  <bookViews>
    <workbookView xWindow="-120" yWindow="-120" windowWidth="25440" windowHeight="15270" xr2:uid="{00000000-000D-0000-FFFF-FFFF00000000}"/>
  </bookViews>
  <sheets>
    <sheet name="Mapa final" sheetId="2" r:id="rId1"/>
    <sheet name="Intructivo" sheetId="1" r:id="rId2"/>
    <sheet name="Matriz Calor Inherente" sheetId="3" r:id="rId3"/>
    <sheet name="Matriz Calor Residual" sheetId="4" r:id="rId4"/>
    <sheet name="Tabla probabilidad" sheetId="5" r:id="rId5"/>
    <sheet name="Tabla Impacto" sheetId="6" r:id="rId6"/>
    <sheet name="Tabla Valoración controles" sheetId="7" r:id="rId7"/>
    <sheet name="CONTROL DE CAMBIOS" sheetId="10" state="hidden" r:id="rId8"/>
    <sheet name="Opciones Tratamiento" sheetId="8" state="hidden" r:id="rId9"/>
    <sheet name="Hoja1" sheetId="9" state="hidden" r:id="rId10"/>
  </sheets>
  <externalReferences>
    <externalReference r:id="rId11"/>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43" i="2" l="1"/>
  <c r="T42" i="2"/>
  <c r="T41" i="2"/>
  <c r="T38" i="2"/>
  <c r="T37" i="2"/>
  <c r="T36" i="2"/>
  <c r="T33" i="2"/>
  <c r="T32" i="2"/>
  <c r="T31" i="2"/>
  <c r="T28" i="2"/>
  <c r="T27" i="2"/>
  <c r="T26" i="2"/>
  <c r="T23" i="2"/>
  <c r="T22" i="2"/>
  <c r="T21" i="2"/>
  <c r="T18" i="2"/>
  <c r="T17" i="2"/>
  <c r="H41" i="2"/>
  <c r="H36" i="2"/>
  <c r="H31" i="2"/>
  <c r="H26" i="2"/>
  <c r="H21" i="2"/>
  <c r="T40" i="2" l="1"/>
  <c r="T39" i="2"/>
  <c r="T35" i="2"/>
  <c r="T34" i="2"/>
  <c r="T30" i="2"/>
  <c r="T29" i="2"/>
  <c r="T20" i="2"/>
  <c r="T19" i="2"/>
  <c r="T16" i="2"/>
  <c r="Q43" i="2"/>
  <c r="Q42" i="2"/>
  <c r="Q41" i="2"/>
  <c r="Q40" i="2"/>
  <c r="X40" i="2" s="1"/>
  <c r="Q39" i="2"/>
  <c r="X39" i="2" s="1"/>
  <c r="Q38" i="2"/>
  <c r="Q37" i="2"/>
  <c r="Q36" i="2"/>
  <c r="Q35" i="2"/>
  <c r="AB35" i="2" s="1"/>
  <c r="AA35" i="2" s="1"/>
  <c r="Q34" i="2"/>
  <c r="AB34" i="2" s="1"/>
  <c r="AA34" i="2" s="1"/>
  <c r="Q33" i="2"/>
  <c r="Q32" i="2"/>
  <c r="Q31" i="2"/>
  <c r="Q30" i="2"/>
  <c r="AB30" i="2" s="1"/>
  <c r="AA30" i="2" s="1"/>
  <c r="Q29" i="2"/>
  <c r="AB29" i="2" s="1"/>
  <c r="AA29" i="2" s="1"/>
  <c r="Q28" i="2"/>
  <c r="Q27" i="2"/>
  <c r="Q26" i="2"/>
  <c r="Q25" i="2"/>
  <c r="AB25" i="2" s="1"/>
  <c r="AA25" i="2" s="1"/>
  <c r="Q24" i="2"/>
  <c r="X24" i="2" s="1"/>
  <c r="Q23" i="2"/>
  <c r="Q22" i="2"/>
  <c r="Q21" i="2"/>
  <c r="Q20" i="2"/>
  <c r="AB20" i="2" s="1"/>
  <c r="AA20" i="2" s="1"/>
  <c r="Q19" i="2"/>
  <c r="AB19" i="2" s="1"/>
  <c r="AA19" i="2" s="1"/>
  <c r="Q18" i="2"/>
  <c r="Q17" i="2"/>
  <c r="Q16" i="2"/>
  <c r="I41" i="2"/>
  <c r="I36" i="2"/>
  <c r="I31" i="2"/>
  <c r="I26" i="2"/>
  <c r="I21" i="2"/>
  <c r="H16" i="2"/>
  <c r="I16" i="2" s="1"/>
  <c r="H45" i="2"/>
  <c r="H44" i="2"/>
  <c r="H40" i="2"/>
  <c r="H39" i="2"/>
  <c r="H35" i="2"/>
  <c r="H34" i="2"/>
  <c r="H30" i="2"/>
  <c r="H29" i="2"/>
  <c r="H25" i="2"/>
  <c r="I25" i="2" s="1"/>
  <c r="H24" i="2"/>
  <c r="H20" i="2"/>
  <c r="H19" i="2"/>
  <c r="T44" i="2"/>
  <c r="X44" i="2"/>
  <c r="Z44" i="2" s="1"/>
  <c r="AB44" i="2"/>
  <c r="AA44" i="2" s="1"/>
  <c r="T45" i="2"/>
  <c r="AB43" i="2" l="1"/>
  <c r="AA43" i="2" s="1"/>
  <c r="X43" i="2"/>
  <c r="AB42" i="2"/>
  <c r="AA42" i="2" s="1"/>
  <c r="AB41" i="2"/>
  <c r="AA41" i="2" s="1"/>
  <c r="X42" i="2"/>
  <c r="X41" i="2"/>
  <c r="Z41" i="2" s="1"/>
  <c r="AB38" i="2"/>
  <c r="AA38" i="2" s="1"/>
  <c r="X38" i="2"/>
  <c r="X37" i="2"/>
  <c r="X36" i="2"/>
  <c r="AB37" i="2"/>
  <c r="AA37" i="2" s="1"/>
  <c r="AB36" i="2"/>
  <c r="AA36" i="2" s="1"/>
  <c r="X33" i="2"/>
  <c r="Z33" i="2" s="1"/>
  <c r="AB33" i="2"/>
  <c r="AA33" i="2" s="1"/>
  <c r="X32" i="2"/>
  <c r="Z32" i="2" s="1"/>
  <c r="AB32" i="2"/>
  <c r="AA32" i="2" s="1"/>
  <c r="X31" i="2"/>
  <c r="Y31" i="2" s="1"/>
  <c r="AB28" i="2"/>
  <c r="AA28" i="2" s="1"/>
  <c r="X28" i="2"/>
  <c r="X26" i="2"/>
  <c r="X21" i="2"/>
  <c r="Y21" i="2" s="1"/>
  <c r="X18" i="2"/>
  <c r="AB18" i="2"/>
  <c r="AA18" i="2" s="1"/>
  <c r="X16" i="2"/>
  <c r="Y16" i="2" s="1"/>
  <c r="X25" i="2"/>
  <c r="Z25" i="2" s="1"/>
  <c r="Y39" i="2"/>
  <c r="Z39" i="2"/>
  <c r="Z24" i="2"/>
  <c r="Y24" i="2"/>
  <c r="Y40" i="2"/>
  <c r="Z40" i="2"/>
  <c r="AB39" i="2"/>
  <c r="AA39" i="2" s="1"/>
  <c r="X34" i="2"/>
  <c r="Y41" i="2"/>
  <c r="AB24" i="2"/>
  <c r="AA24" i="2" s="1"/>
  <c r="AB40" i="2"/>
  <c r="AA40" i="2" s="1"/>
  <c r="X19" i="2"/>
  <c r="X35" i="2"/>
  <c r="X20" i="2"/>
  <c r="X29" i="2"/>
  <c r="X30" i="2"/>
  <c r="I45" i="2"/>
  <c r="Y44" i="2"/>
  <c r="AC44" i="2" s="1"/>
  <c r="I44" i="2"/>
  <c r="I40" i="2"/>
  <c r="I39" i="2"/>
  <c r="I35" i="2"/>
  <c r="I34" i="2"/>
  <c r="I30" i="2"/>
  <c r="I29" i="2"/>
  <c r="I24" i="2"/>
  <c r="I20" i="2"/>
  <c r="I19" i="2"/>
  <c r="Q45" i="2"/>
  <c r="Y32" i="2" l="1"/>
  <c r="AC41" i="2"/>
  <c r="Y33" i="2"/>
  <c r="AC33" i="2" s="1"/>
  <c r="Z31" i="2"/>
  <c r="Y25" i="2"/>
  <c r="AC25" i="2" s="1"/>
  <c r="AC24" i="2"/>
  <c r="Z21" i="2"/>
  <c r="Z30" i="2"/>
  <c r="Y30" i="2"/>
  <c r="AC30" i="2" s="1"/>
  <c r="Z20" i="2"/>
  <c r="Y20" i="2"/>
  <c r="AC20" i="2" s="1"/>
  <c r="Z38" i="2"/>
  <c r="Y38" i="2"/>
  <c r="AC38" i="2" s="1"/>
  <c r="AC39" i="2"/>
  <c r="Z18" i="2"/>
  <c r="Y18" i="2"/>
  <c r="AC18" i="2" s="1"/>
  <c r="Z43" i="2"/>
  <c r="Y43" i="2"/>
  <c r="AC43" i="2" s="1"/>
  <c r="Z37" i="2"/>
  <c r="Y37" i="2"/>
  <c r="AC37" i="2" s="1"/>
  <c r="Z26" i="2"/>
  <c r="X27" i="2" s="1"/>
  <c r="Z27" i="2" s="1"/>
  <c r="Y26" i="2"/>
  <c r="AC40" i="2"/>
  <c r="Z35" i="2"/>
  <c r="Y35" i="2"/>
  <c r="AC35" i="2" s="1"/>
  <c r="Y27" i="2"/>
  <c r="Z19" i="2"/>
  <c r="Y19" i="2"/>
  <c r="AC19" i="2" s="1"/>
  <c r="Z42" i="2"/>
  <c r="Y42" i="2"/>
  <c r="AC42" i="2" s="1"/>
  <c r="Z36" i="2"/>
  <c r="Y36" i="2"/>
  <c r="AC36" i="2" s="1"/>
  <c r="Z28" i="2"/>
  <c r="Y28" i="2"/>
  <c r="AC28" i="2" s="1"/>
  <c r="Z29" i="2"/>
  <c r="Y29" i="2"/>
  <c r="AC29" i="2" s="1"/>
  <c r="Z34" i="2"/>
  <c r="Y34" i="2"/>
  <c r="AC34" i="2" s="1"/>
  <c r="AC32" i="2"/>
  <c r="Z16" i="2"/>
  <c r="X17" i="2" s="1"/>
  <c r="Z17" i="2" s="1"/>
  <c r="X45" i="2"/>
  <c r="AB45" i="2"/>
  <c r="AA45" i="2" s="1"/>
  <c r="X22" i="2" l="1"/>
  <c r="Z22" i="2" s="1"/>
  <c r="X23" i="2" s="1"/>
  <c r="Y17" i="2"/>
  <c r="Z45" i="2"/>
  <c r="Y45" i="2"/>
  <c r="AC45" i="2" s="1"/>
  <c r="Z23" i="2" l="1"/>
  <c r="Y23" i="2"/>
  <c r="Y22" i="2"/>
  <c r="AD41" i="2"/>
  <c r="AD36" i="2"/>
  <c r="F221" i="6"/>
  <c r="F220" i="6"/>
  <c r="F219" i="6"/>
  <c r="F218" i="6"/>
  <c r="F217" i="6"/>
  <c r="F216" i="6"/>
  <c r="F215" i="6"/>
  <c r="F214" i="6"/>
  <c r="F213" i="6"/>
  <c r="F212" i="6"/>
  <c r="F211" i="6"/>
  <c r="F210" i="6"/>
  <c r="AL44" i="3"/>
  <c r="AJ44" i="3"/>
  <c r="AF44" i="3"/>
  <c r="AD44" i="3"/>
  <c r="Z44" i="3"/>
  <c r="X44" i="3"/>
  <c r="T44" i="3"/>
  <c r="R44" i="3"/>
  <c r="N44" i="3"/>
  <c r="L44" i="3"/>
  <c r="AL36" i="3"/>
  <c r="AJ36" i="3"/>
  <c r="AF36" i="3"/>
  <c r="AD36" i="3"/>
  <c r="Z36" i="3"/>
  <c r="X36" i="3"/>
  <c r="T36" i="3"/>
  <c r="R36" i="3"/>
  <c r="N36" i="3"/>
  <c r="L36" i="3"/>
  <c r="AL28" i="3"/>
  <c r="AJ28" i="3"/>
  <c r="AF28" i="3"/>
  <c r="AD28" i="3"/>
  <c r="Z28" i="3"/>
  <c r="X28" i="3"/>
  <c r="T28" i="3"/>
  <c r="R28" i="3"/>
  <c r="N28" i="3"/>
  <c r="L28" i="3"/>
  <c r="AL20" i="3"/>
  <c r="AJ20" i="3"/>
  <c r="AF20" i="3"/>
  <c r="AD20" i="3"/>
  <c r="Z20" i="3"/>
  <c r="X20" i="3"/>
  <c r="T20" i="3"/>
  <c r="R20" i="3"/>
  <c r="N20" i="3"/>
  <c r="L20" i="3"/>
  <c r="AL12" i="3"/>
  <c r="AJ12" i="3"/>
  <c r="AF12" i="3"/>
  <c r="AD12" i="3"/>
  <c r="Z12" i="3"/>
  <c r="X12" i="3"/>
  <c r="T12" i="3"/>
  <c r="R12" i="3"/>
  <c r="N12" i="3"/>
  <c r="L12" i="3"/>
  <c r="H210" i="6"/>
  <c r="B223" i="6"/>
  <c r="B221" i="6"/>
  <c r="B222" i="6"/>
  <c r="K45" i="2" l="1"/>
  <c r="L45" i="2" s="1"/>
  <c r="M45" i="2" s="1"/>
  <c r="K40" i="2"/>
  <c r="L40" i="2" s="1"/>
  <c r="M40" i="2" s="1"/>
  <c r="K44" i="2"/>
  <c r="L44" i="2" s="1"/>
  <c r="K35" i="2"/>
  <c r="L35" i="2" s="1"/>
  <c r="M35" i="2" s="1"/>
  <c r="K39" i="2"/>
  <c r="L39" i="2" s="1"/>
  <c r="K30" i="2"/>
  <c r="L30" i="2" s="1"/>
  <c r="M30" i="2" s="1"/>
  <c r="K34" i="2"/>
  <c r="L34" i="2" s="1"/>
  <c r="K25" i="2"/>
  <c r="L25" i="2" s="1"/>
  <c r="N25" i="2" s="1"/>
  <c r="K29" i="2"/>
  <c r="L29" i="2" s="1"/>
  <c r="K20" i="2"/>
  <c r="L20" i="2" s="1"/>
  <c r="M20" i="2" s="1"/>
  <c r="K24" i="2"/>
  <c r="L24" i="2" s="1"/>
  <c r="K19" i="2"/>
  <c r="L19" i="2" s="1"/>
  <c r="M19" i="2" s="1"/>
  <c r="L34" i="3"/>
  <c r="J12" i="3"/>
  <c r="N45" i="2" l="1"/>
  <c r="N40" i="2"/>
  <c r="M44" i="2"/>
  <c r="N44" i="2"/>
  <c r="N35" i="2"/>
  <c r="M39" i="2"/>
  <c r="N39" i="2"/>
  <c r="N30" i="2"/>
  <c r="M34" i="2"/>
  <c r="N34" i="2"/>
  <c r="M25" i="2"/>
  <c r="M29" i="2"/>
  <c r="N29" i="2"/>
  <c r="N20" i="2"/>
  <c r="M24" i="2"/>
  <c r="N24" i="2"/>
  <c r="N19" i="2"/>
  <c r="AF54" i="4"/>
  <c r="AI54" i="4"/>
  <c r="L32" i="4"/>
  <c r="L54" i="4"/>
  <c r="AB52" i="4"/>
  <c r="AB54" i="4"/>
  <c r="Y48" i="4"/>
  <c r="AA48" i="4"/>
  <c r="U30" i="4"/>
  <c r="Y52" i="4"/>
  <c r="AA52" i="4"/>
  <c r="U54" i="4"/>
  <c r="M24" i="4"/>
  <c r="U46" i="4"/>
  <c r="AH20" i="3"/>
  <c r="AF10" i="3"/>
  <c r="V12" i="3"/>
  <c r="V28" i="3"/>
  <c r="P36" i="3"/>
  <c r="Z34" i="3"/>
  <c r="AH26" i="3"/>
  <c r="T10" i="3"/>
  <c r="V20" i="3"/>
  <c r="AB26" i="3"/>
  <c r="AL18" i="3"/>
  <c r="AH28" i="3"/>
  <c r="P26" i="3"/>
  <c r="AB36" i="3"/>
  <c r="AH36" i="3"/>
  <c r="J20" i="3"/>
  <c r="J18" i="3"/>
  <c r="N42" i="3"/>
  <c r="AH44" i="3"/>
  <c r="AH42" i="3"/>
  <c r="P34" i="3"/>
  <c r="J34" i="3"/>
  <c r="AB42" i="3"/>
  <c r="J36" i="3"/>
  <c r="L26" i="3"/>
  <c r="L18" i="3"/>
  <c r="AJ34" i="3"/>
  <c r="V36" i="3"/>
  <c r="V18" i="3"/>
  <c r="AH10" i="3"/>
  <c r="AB18" i="3"/>
  <c r="AL10" i="3"/>
  <c r="Z10" i="3"/>
  <c r="AL42" i="3"/>
  <c r="J44" i="3"/>
  <c r="AB28" i="3"/>
  <c r="V44" i="3"/>
  <c r="AL26" i="3"/>
  <c r="N34" i="3"/>
  <c r="AF42" i="3"/>
  <c r="T34" i="3"/>
  <c r="Z42" i="3"/>
  <c r="L42" i="3"/>
  <c r="R10" i="3"/>
  <c r="AJ42" i="3"/>
  <c r="X42" i="3"/>
  <c r="R18" i="3"/>
  <c r="X26" i="3"/>
  <c r="AJ26" i="3"/>
  <c r="X18" i="3"/>
  <c r="X10" i="3"/>
  <c r="AB20" i="3"/>
  <c r="AB12" i="3"/>
  <c r="AB44" i="3"/>
  <c r="P44" i="3"/>
  <c r="J28" i="3"/>
  <c r="AH12" i="3"/>
  <c r="N10" i="3"/>
  <c r="P10" i="3"/>
  <c r="AH34" i="3"/>
  <c r="AH18" i="3"/>
  <c r="P42" i="3"/>
  <c r="AB34" i="3"/>
  <c r="V42" i="3"/>
  <c r="N26" i="3"/>
  <c r="V10" i="3"/>
  <c r="AF34" i="3"/>
  <c r="AF18" i="3"/>
  <c r="Z18" i="3"/>
  <c r="T18" i="3"/>
  <c r="T42" i="3"/>
  <c r="V34" i="3"/>
  <c r="P18" i="3"/>
  <c r="J10" i="3"/>
  <c r="J26" i="3"/>
  <c r="AB10" i="3"/>
  <c r="J42" i="3"/>
  <c r="N18" i="3"/>
  <c r="AF26" i="3"/>
  <c r="Z26" i="3"/>
  <c r="T26" i="3"/>
  <c r="AL34" i="3"/>
  <c r="AF50" i="4"/>
  <c r="T50" i="4"/>
  <c r="Z50" i="4"/>
  <c r="AL40" i="4"/>
  <c r="Z40" i="4"/>
  <c r="N40" i="4"/>
  <c r="AF40" i="4"/>
  <c r="N50" i="4"/>
  <c r="AF30" i="4"/>
  <c r="AL50" i="4"/>
  <c r="Z30" i="4"/>
  <c r="T30" i="4"/>
  <c r="N30" i="4"/>
  <c r="AL20" i="4"/>
  <c r="Z20" i="4"/>
  <c r="N20" i="4"/>
  <c r="AL10" i="4"/>
  <c r="T40" i="4"/>
  <c r="AF20" i="4"/>
  <c r="T20" i="4"/>
  <c r="AL30" i="4"/>
  <c r="Z10" i="4"/>
  <c r="N10" i="4"/>
  <c r="AF10" i="4"/>
  <c r="T10" i="4"/>
  <c r="AF52" i="4"/>
  <c r="T52" i="4"/>
  <c r="AL52" i="4"/>
  <c r="N52" i="4"/>
  <c r="AL42" i="4"/>
  <c r="Z42" i="4"/>
  <c r="N42" i="4"/>
  <c r="Z52" i="4"/>
  <c r="T42" i="4"/>
  <c r="AF42" i="4"/>
  <c r="AF32" i="4"/>
  <c r="T32" i="4"/>
  <c r="AL32" i="4"/>
  <c r="AL22" i="4"/>
  <c r="Z22" i="4"/>
  <c r="N22" i="4"/>
  <c r="AL12" i="4"/>
  <c r="Z12" i="4"/>
  <c r="N12" i="4"/>
  <c r="N32" i="4"/>
  <c r="AF22" i="4"/>
  <c r="T22" i="4"/>
  <c r="AF12" i="4"/>
  <c r="T12" i="4"/>
  <c r="Z32" i="4"/>
  <c r="AE50" i="4"/>
  <c r="S50" i="4"/>
  <c r="AK50" i="4"/>
  <c r="M50" i="4"/>
  <c r="AE40" i="4"/>
  <c r="S40" i="4"/>
  <c r="Y50" i="4"/>
  <c r="AK40" i="4"/>
  <c r="Y40" i="4"/>
  <c r="M40" i="4"/>
  <c r="AK30" i="4"/>
  <c r="AE30" i="4"/>
  <c r="S30" i="4"/>
  <c r="Y30" i="4"/>
  <c r="M30" i="4"/>
  <c r="AK20" i="4"/>
  <c r="Y20" i="4"/>
  <c r="M20" i="4"/>
  <c r="AK10" i="4"/>
  <c r="AE10" i="4"/>
  <c r="S10" i="4"/>
  <c r="S20" i="4"/>
  <c r="AE20" i="4"/>
  <c r="Y10" i="4"/>
  <c r="M10" i="4"/>
  <c r="Z54" i="4"/>
  <c r="N44" i="4"/>
  <c r="T44" i="4"/>
  <c r="T34" i="4"/>
  <c r="AF44" i="4"/>
  <c r="Z34" i="4"/>
  <c r="Z24" i="4"/>
  <c r="AL14" i="4"/>
  <c r="N14" i="4"/>
  <c r="AF24" i="4"/>
  <c r="AF14" i="4"/>
  <c r="N34" i="4"/>
  <c r="AF48" i="4"/>
  <c r="T48" i="4"/>
  <c r="AL48" i="4"/>
  <c r="N48" i="4"/>
  <c r="AF38" i="4"/>
  <c r="T38" i="4"/>
  <c r="AL28" i="4"/>
  <c r="Z28" i="4"/>
  <c r="N28" i="4"/>
  <c r="AL18" i="4"/>
  <c r="Z18" i="4"/>
  <c r="N18" i="4"/>
  <c r="N38" i="4"/>
  <c r="Z48" i="4"/>
  <c r="Z38" i="4"/>
  <c r="AF28" i="4"/>
  <c r="T28" i="4"/>
  <c r="AF18" i="4"/>
  <c r="T18" i="4"/>
  <c r="AL38" i="4"/>
  <c r="AL8" i="4"/>
  <c r="Z8" i="4"/>
  <c r="N8" i="4"/>
  <c r="AF8" i="4"/>
  <c r="T8" i="4"/>
  <c r="AI52" i="4"/>
  <c r="W52" i="4"/>
  <c r="K52" i="4"/>
  <c r="Q52" i="4"/>
  <c r="AI42" i="4"/>
  <c r="W42" i="4"/>
  <c r="K42" i="4"/>
  <c r="AC52" i="4"/>
  <c r="AC42" i="4"/>
  <c r="Q42" i="4"/>
  <c r="AC32" i="4"/>
  <c r="Q32" i="4"/>
  <c r="AI32" i="4"/>
  <c r="W32" i="4"/>
  <c r="K32" i="4"/>
  <c r="AC22" i="4"/>
  <c r="Q22" i="4"/>
  <c r="AC12" i="4"/>
  <c r="Q12" i="4"/>
  <c r="K22" i="4"/>
  <c r="W12" i="4"/>
  <c r="W22" i="4"/>
  <c r="AI12" i="4"/>
  <c r="AI22" i="4"/>
  <c r="K12" i="4"/>
  <c r="W54" i="4"/>
  <c r="K54" i="4"/>
  <c r="K44" i="4"/>
  <c r="Q54" i="4"/>
  <c r="Q34" i="4"/>
  <c r="W34" i="4"/>
  <c r="AC14" i="4"/>
  <c r="Q14" i="4"/>
  <c r="W24" i="4"/>
  <c r="AI14" i="4"/>
  <c r="AD26" i="3"/>
  <c r="AD10" i="3"/>
  <c r="AD18" i="3"/>
  <c r="AJ10" i="3"/>
  <c r="R34" i="3"/>
  <c r="AD34" i="3"/>
  <c r="AJ18" i="3"/>
  <c r="L10" i="3"/>
  <c r="R26" i="3"/>
  <c r="R42" i="3"/>
  <c r="AD42" i="3"/>
  <c r="X34" i="3"/>
  <c r="V26" i="3"/>
  <c r="P28" i="3"/>
  <c r="P12" i="3"/>
  <c r="P20" i="3"/>
  <c r="AB51" i="4" l="1"/>
  <c r="T14" i="4"/>
  <c r="AL34" i="4"/>
  <c r="N24" i="4"/>
  <c r="AL54" i="4"/>
  <c r="AF34" i="4"/>
  <c r="Z44" i="4"/>
  <c r="S52" i="4"/>
  <c r="T24" i="4"/>
  <c r="Z14" i="4"/>
  <c r="AL24" i="4"/>
  <c r="N54" i="4"/>
  <c r="AL44" i="4"/>
  <c r="T54" i="4"/>
  <c r="W14" i="4"/>
  <c r="AC24" i="4"/>
  <c r="AC34" i="4"/>
  <c r="W44" i="4"/>
  <c r="U32" i="4"/>
  <c r="K14" i="4"/>
  <c r="K34" i="4"/>
  <c r="Q44" i="4"/>
  <c r="AC54" i="4"/>
  <c r="AB42" i="4"/>
  <c r="AG34" i="4"/>
  <c r="AE28" i="4"/>
  <c r="P12" i="4"/>
  <c r="AB32" i="4"/>
  <c r="AM8" i="4"/>
  <c r="AG18" i="4"/>
  <c r="AH32" i="4"/>
  <c r="V52" i="4"/>
  <c r="AH12" i="4"/>
  <c r="O34" i="4"/>
  <c r="AM48" i="4"/>
  <c r="AB12" i="4"/>
  <c r="J22" i="4"/>
  <c r="P42" i="4"/>
  <c r="U8" i="4"/>
  <c r="AM38" i="4"/>
  <c r="AH52" i="4"/>
  <c r="V32" i="4"/>
  <c r="AH42" i="4"/>
  <c r="AI24" i="4"/>
  <c r="K24" i="4"/>
  <c r="Q24" i="4"/>
  <c r="AI34" i="4"/>
  <c r="AC44" i="4"/>
  <c r="AI44" i="4"/>
  <c r="AA18" i="4"/>
  <c r="U38" i="4"/>
  <c r="S54" i="4"/>
  <c r="M22" i="4"/>
  <c r="R24" i="4"/>
  <c r="AM52" i="4"/>
  <c r="O22" i="4"/>
  <c r="AM20" i="4"/>
  <c r="O18" i="4"/>
  <c r="U28" i="4"/>
  <c r="U48" i="4"/>
  <c r="P22" i="4"/>
  <c r="J12" i="4"/>
  <c r="V22" i="4"/>
  <c r="J52" i="4"/>
  <c r="J42" i="4"/>
  <c r="P52" i="4"/>
  <c r="O54" i="4"/>
  <c r="J32" i="4"/>
  <c r="AB22" i="4"/>
  <c r="V12" i="4"/>
  <c r="AH22" i="4"/>
  <c r="P32" i="4"/>
  <c r="V42" i="4"/>
  <c r="U14" i="4"/>
  <c r="P14" i="4"/>
  <c r="AA28" i="4"/>
  <c r="AA8" i="4"/>
  <c r="AG28" i="4"/>
  <c r="O48" i="4"/>
  <c r="AE34" i="4"/>
  <c r="AE32" i="4"/>
  <c r="AJ34" i="4"/>
  <c r="AD12" i="4"/>
  <c r="M42" i="4"/>
  <c r="X14" i="4"/>
  <c r="AD44" i="4"/>
  <c r="AA40" i="4"/>
  <c r="S12" i="4"/>
  <c r="AK52" i="4"/>
  <c r="AJ24" i="4"/>
  <c r="X54" i="4"/>
  <c r="AM18" i="4"/>
  <c r="O28" i="4"/>
  <c r="AM28" i="4"/>
  <c r="AA38" i="4"/>
  <c r="AG48" i="4"/>
  <c r="AE22" i="4"/>
  <c r="Y22" i="4"/>
  <c r="Y42" i="4"/>
  <c r="AE52" i="4"/>
  <c r="AE12" i="4"/>
  <c r="Y12" i="4"/>
  <c r="AK22" i="4"/>
  <c r="Y32" i="4"/>
  <c r="AK42" i="4"/>
  <c r="AE42" i="4"/>
  <c r="AH24" i="4"/>
  <c r="AD34" i="4"/>
  <c r="L24" i="4"/>
  <c r="R14" i="4"/>
  <c r="L34" i="4"/>
  <c r="AD54" i="4"/>
  <c r="AJ44" i="4"/>
  <c r="AA50" i="4"/>
  <c r="M12" i="4"/>
  <c r="M32" i="4"/>
  <c r="S42" i="4"/>
  <c r="L44" i="4"/>
  <c r="AJ14" i="4"/>
  <c r="R34" i="4"/>
  <c r="AD24" i="4"/>
  <c r="X44" i="4"/>
  <c r="R54" i="4"/>
  <c r="AJ54" i="4"/>
  <c r="AM14" i="4"/>
  <c r="AM44" i="4"/>
  <c r="S22" i="4"/>
  <c r="AK12" i="4"/>
  <c r="S32" i="4"/>
  <c r="AK32" i="4"/>
  <c r="M52" i="4"/>
  <c r="AB34" i="4"/>
  <c r="L14" i="4"/>
  <c r="X24" i="4"/>
  <c r="AD14" i="4"/>
  <c r="X34" i="4"/>
  <c r="R44" i="4"/>
  <c r="AG8" i="4"/>
  <c r="O8" i="4"/>
  <c r="U18" i="4"/>
  <c r="O38" i="4"/>
  <c r="AG38" i="4"/>
  <c r="AK18" i="4"/>
  <c r="AA22" i="4"/>
  <c r="AG42" i="4"/>
  <c r="U22" i="4"/>
  <c r="U52" i="4"/>
  <c r="S38" i="4"/>
  <c r="AA12" i="4"/>
  <c r="AG22" i="4"/>
  <c r="AG52" i="4"/>
  <c r="AK38" i="4"/>
  <c r="AC47" i="4"/>
  <c r="AB50" i="4"/>
  <c r="J50" i="4"/>
  <c r="AH30" i="4"/>
  <c r="AK54" i="4"/>
  <c r="Y54" i="4"/>
  <c r="Y34" i="4"/>
  <c r="S34" i="4"/>
  <c r="AK14" i="4"/>
  <c r="S14" i="4"/>
  <c r="M54" i="4"/>
  <c r="Y44" i="4"/>
  <c r="M34" i="4"/>
  <c r="AK24" i="4"/>
  <c r="Y14" i="4"/>
  <c r="S24" i="4"/>
  <c r="AE54" i="4"/>
  <c r="AE44" i="4"/>
  <c r="M44" i="4"/>
  <c r="AK44" i="4"/>
  <c r="Y24" i="4"/>
  <c r="M14" i="4"/>
  <c r="AE14" i="4"/>
  <c r="O50" i="4"/>
  <c r="O40" i="4"/>
  <c r="AM30" i="4"/>
  <c r="AG20" i="4"/>
  <c r="AM10" i="4"/>
  <c r="O20" i="4"/>
  <c r="U50" i="4"/>
  <c r="AG50" i="4"/>
  <c r="AA30" i="4"/>
  <c r="U20" i="4"/>
  <c r="AA10" i="4"/>
  <c r="U10" i="4"/>
  <c r="AM50" i="4"/>
  <c r="AM40" i="4"/>
  <c r="AG40" i="4"/>
  <c r="O30" i="4"/>
  <c r="AG10" i="4"/>
  <c r="O10" i="4"/>
  <c r="AA20" i="4"/>
  <c r="AD52" i="4"/>
  <c r="R52" i="4"/>
  <c r="L42" i="4"/>
  <c r="R12" i="4"/>
  <c r="AJ22" i="4"/>
  <c r="X12" i="4"/>
  <c r="AJ52" i="4"/>
  <c r="AD42" i="4"/>
  <c r="AJ32" i="4"/>
  <c r="AD22" i="4"/>
  <c r="R32" i="4"/>
  <c r="X22" i="4"/>
  <c r="L12" i="4"/>
  <c r="X52" i="4"/>
  <c r="R42" i="4"/>
  <c r="X32" i="4"/>
  <c r="R22" i="4"/>
  <c r="X42" i="4"/>
  <c r="L22" i="4"/>
  <c r="AJ12" i="4"/>
  <c r="AH44" i="4"/>
  <c r="AD32" i="4"/>
  <c r="L52" i="4"/>
  <c r="V14" i="4"/>
  <c r="U40" i="4"/>
  <c r="AE24" i="4"/>
  <c r="S44" i="4"/>
  <c r="P20" i="4"/>
  <c r="P54" i="4"/>
  <c r="V44" i="4"/>
  <c r="P34" i="4"/>
  <c r="V24" i="4"/>
  <c r="J14" i="4"/>
  <c r="AB24" i="4"/>
  <c r="AH54" i="4"/>
  <c r="J44" i="4"/>
  <c r="P44" i="4"/>
  <c r="J24" i="4"/>
  <c r="V34" i="4"/>
  <c r="P24" i="4"/>
  <c r="J54" i="4"/>
  <c r="V54" i="4"/>
  <c r="J34" i="4"/>
  <c r="AH14" i="4"/>
  <c r="AB44" i="4"/>
  <c r="AB14" i="4"/>
  <c r="AJ42" i="4"/>
  <c r="AH34" i="4"/>
  <c r="AG30" i="4"/>
  <c r="AK34" i="4"/>
  <c r="AM12" i="4"/>
  <c r="AM32" i="4"/>
  <c r="AM42" i="4"/>
  <c r="AE8" i="4"/>
  <c r="S48" i="4"/>
  <c r="M8" i="4"/>
  <c r="AE18" i="4"/>
  <c r="S18" i="4"/>
  <c r="M28" i="4"/>
  <c r="AE38" i="4"/>
  <c r="M48" i="4"/>
  <c r="AE48" i="4"/>
  <c r="Y8" i="4"/>
  <c r="S28" i="4"/>
  <c r="M18" i="4"/>
  <c r="Y28" i="4"/>
  <c r="M38" i="4"/>
  <c r="AK48" i="4"/>
  <c r="AK8" i="4"/>
  <c r="S8" i="4"/>
  <c r="Y18" i="4"/>
  <c r="AK28" i="4"/>
  <c r="Y38" i="4"/>
  <c r="AG14" i="4"/>
  <c r="AA34" i="4"/>
  <c r="O44" i="4"/>
  <c r="AA54" i="4"/>
  <c r="O14" i="4"/>
  <c r="AA14" i="4"/>
  <c r="U24" i="4"/>
  <c r="AM34" i="4"/>
  <c r="AG44" i="4"/>
  <c r="AA44" i="4"/>
  <c r="AM54" i="4"/>
  <c r="O12" i="4"/>
  <c r="U12" i="4"/>
  <c r="O32" i="4"/>
  <c r="AG32" i="4"/>
  <c r="O42" i="4"/>
  <c r="O52" i="4"/>
  <c r="AA24" i="4"/>
  <c r="U44" i="4"/>
  <c r="AM24" i="4"/>
  <c r="O24" i="4"/>
  <c r="AG24" i="4"/>
  <c r="U34" i="4"/>
  <c r="AG54" i="4"/>
  <c r="AM22" i="4"/>
  <c r="AG12" i="4"/>
  <c r="AA32" i="4"/>
  <c r="U42" i="4"/>
  <c r="AA42" i="4"/>
  <c r="V30" i="4"/>
  <c r="AB40" i="4"/>
  <c r="P50" i="4"/>
  <c r="AB10" i="4"/>
  <c r="J20" i="4"/>
  <c r="V50" i="4"/>
  <c r="J10" i="4"/>
  <c r="AH20" i="4"/>
  <c r="V40" i="4"/>
  <c r="P30" i="4"/>
  <c r="AB20" i="4"/>
  <c r="V20" i="4"/>
  <c r="AB30" i="4"/>
  <c r="J40" i="4"/>
  <c r="AH50" i="4"/>
  <c r="P10" i="4"/>
  <c r="V10" i="4"/>
  <c r="AH10" i="4"/>
  <c r="J30" i="4"/>
  <c r="P40" i="4"/>
  <c r="AH40" i="4"/>
  <c r="U36" i="4"/>
  <c r="AM16" i="4"/>
  <c r="O6" i="4"/>
  <c r="AA46" i="4"/>
  <c r="AG16" i="4"/>
  <c r="AM46" i="4"/>
  <c r="AG6" i="4"/>
  <c r="AG26" i="4"/>
  <c r="AA6" i="4"/>
  <c r="AG36" i="4"/>
  <c r="AA26" i="4"/>
  <c r="O16" i="4"/>
  <c r="O36" i="4"/>
  <c r="AG46" i="4"/>
  <c r="AM26" i="4"/>
  <c r="O26" i="4"/>
  <c r="U16" i="4"/>
  <c r="AA36" i="4"/>
  <c r="O46" i="4"/>
  <c r="U6" i="4"/>
  <c r="AA16" i="4"/>
  <c r="AM6" i="4"/>
  <c r="U26" i="4"/>
  <c r="AM36" i="4"/>
  <c r="AK53" i="4"/>
  <c r="Y53" i="4"/>
  <c r="M53" i="4"/>
  <c r="S53" i="4"/>
  <c r="AK43" i="4"/>
  <c r="Y43" i="4"/>
  <c r="M43" i="4"/>
  <c r="AE53" i="4"/>
  <c r="AE43" i="4"/>
  <c r="S43" i="4"/>
  <c r="AE33" i="4"/>
  <c r="S33" i="4"/>
  <c r="AK33" i="4"/>
  <c r="Y33" i="4"/>
  <c r="M33" i="4"/>
  <c r="AE23" i="4"/>
  <c r="S23" i="4"/>
  <c r="AE13" i="4"/>
  <c r="S13" i="4"/>
  <c r="M23" i="4"/>
  <c r="Y13" i="4"/>
  <c r="Y23" i="4"/>
  <c r="AK13" i="4"/>
  <c r="AK23" i="4"/>
  <c r="M13" i="4"/>
  <c r="AL51" i="4"/>
  <c r="Z51" i="4"/>
  <c r="N51" i="4"/>
  <c r="T51" i="4"/>
  <c r="AF41" i="4"/>
  <c r="T41" i="4"/>
  <c r="N41" i="4"/>
  <c r="AL31" i="4"/>
  <c r="Z31" i="4"/>
  <c r="N31" i="4"/>
  <c r="Z41" i="4"/>
  <c r="T31" i="4"/>
  <c r="AF21" i="4"/>
  <c r="T21" i="4"/>
  <c r="AF11" i="4"/>
  <c r="T11" i="4"/>
  <c r="AF31" i="4"/>
  <c r="AL21" i="4"/>
  <c r="Z21" i="4"/>
  <c r="N21" i="4"/>
  <c r="AL11" i="4"/>
  <c r="AF51" i="4"/>
  <c r="N11" i="4"/>
  <c r="AL41" i="4"/>
  <c r="Z11" i="4"/>
  <c r="AH53" i="4"/>
  <c r="V53" i="4"/>
  <c r="J53" i="4"/>
  <c r="P53" i="4"/>
  <c r="AB43" i="4"/>
  <c r="P43" i="4"/>
  <c r="AB53" i="4"/>
  <c r="V43" i="4"/>
  <c r="AH43" i="4"/>
  <c r="AH33" i="4"/>
  <c r="V33" i="4"/>
  <c r="J33" i="4"/>
  <c r="AB23" i="4"/>
  <c r="P23" i="4"/>
  <c r="AB13" i="4"/>
  <c r="P13" i="4"/>
  <c r="J43" i="4"/>
  <c r="P33" i="4"/>
  <c r="AH23" i="4"/>
  <c r="V23" i="4"/>
  <c r="J23" i="4"/>
  <c r="AH13" i="4"/>
  <c r="V13" i="4"/>
  <c r="J13" i="4"/>
  <c r="AB33" i="4"/>
  <c r="AH55" i="4"/>
  <c r="V55" i="4"/>
  <c r="J55" i="4"/>
  <c r="AH45" i="4"/>
  <c r="V45" i="4"/>
  <c r="J45" i="4"/>
  <c r="AB55" i="4"/>
  <c r="P45" i="4"/>
  <c r="AH35" i="4"/>
  <c r="V35" i="4"/>
  <c r="J35" i="4"/>
  <c r="P55" i="4"/>
  <c r="AB45" i="4"/>
  <c r="AB35" i="4"/>
  <c r="AB25" i="4"/>
  <c r="P25" i="4"/>
  <c r="AB15" i="4"/>
  <c r="P15" i="4"/>
  <c r="AH25" i="4"/>
  <c r="V25" i="4"/>
  <c r="J25" i="4"/>
  <c r="AH15" i="4"/>
  <c r="V15" i="4"/>
  <c r="J15" i="4"/>
  <c r="P35" i="4"/>
  <c r="Q47" i="4"/>
  <c r="W37" i="4"/>
  <c r="AI7" i="4"/>
  <c r="V51" i="4"/>
  <c r="AD55" i="4"/>
  <c r="R55" i="4"/>
  <c r="AD45" i="4"/>
  <c r="R45" i="4"/>
  <c r="AJ55" i="4"/>
  <c r="L55" i="4"/>
  <c r="X45" i="4"/>
  <c r="L45" i="4"/>
  <c r="X55" i="4"/>
  <c r="AJ45" i="4"/>
  <c r="AD35" i="4"/>
  <c r="R35" i="4"/>
  <c r="L35" i="4"/>
  <c r="AJ25" i="4"/>
  <c r="X25" i="4"/>
  <c r="L25" i="4"/>
  <c r="AJ15" i="4"/>
  <c r="X15" i="4"/>
  <c r="L15" i="4"/>
  <c r="X35" i="4"/>
  <c r="AJ35" i="4"/>
  <c r="AD25" i="4"/>
  <c r="R25" i="4"/>
  <c r="AD15" i="4"/>
  <c r="R15" i="4"/>
  <c r="AG53" i="4"/>
  <c r="U53" i="4"/>
  <c r="AA53" i="4"/>
  <c r="AG43" i="4"/>
  <c r="U43" i="4"/>
  <c r="AM53" i="4"/>
  <c r="O53" i="4"/>
  <c r="AM43" i="4"/>
  <c r="AA43" i="4"/>
  <c r="O43" i="4"/>
  <c r="AM33" i="4"/>
  <c r="AA33" i="4"/>
  <c r="O33" i="4"/>
  <c r="AG33" i="4"/>
  <c r="U33" i="4"/>
  <c r="AM23" i="4"/>
  <c r="AA23" i="4"/>
  <c r="O23" i="4"/>
  <c r="AM13" i="4"/>
  <c r="AA13" i="4"/>
  <c r="O13" i="4"/>
  <c r="U13" i="4"/>
  <c r="U23" i="4"/>
  <c r="AG13" i="4"/>
  <c r="AG23" i="4"/>
  <c r="AD53" i="4"/>
  <c r="R53" i="4"/>
  <c r="X53" i="4"/>
  <c r="AJ43" i="4"/>
  <c r="X43" i="4"/>
  <c r="L43" i="4"/>
  <c r="R43" i="4"/>
  <c r="AD33" i="4"/>
  <c r="R33" i="4"/>
  <c r="L53" i="4"/>
  <c r="AD43" i="4"/>
  <c r="X33" i="4"/>
  <c r="AJ23" i="4"/>
  <c r="X23" i="4"/>
  <c r="L23" i="4"/>
  <c r="AJ13" i="4"/>
  <c r="X13" i="4"/>
  <c r="L13" i="4"/>
  <c r="AJ53" i="4"/>
  <c r="AJ33" i="4"/>
  <c r="AD23" i="4"/>
  <c r="R23" i="4"/>
  <c r="AD13" i="4"/>
  <c r="R13" i="4"/>
  <c r="L33" i="4"/>
  <c r="AC53" i="4"/>
  <c r="Q53" i="4"/>
  <c r="AI53" i="4"/>
  <c r="K53" i="4"/>
  <c r="AC43" i="4"/>
  <c r="Q43" i="4"/>
  <c r="W53" i="4"/>
  <c r="AI43" i="4"/>
  <c r="W43" i="4"/>
  <c r="K43" i="4"/>
  <c r="AI33" i="4"/>
  <c r="W33" i="4"/>
  <c r="K33" i="4"/>
  <c r="AC33" i="4"/>
  <c r="Q33" i="4"/>
  <c r="AI23" i="4"/>
  <c r="W23" i="4"/>
  <c r="K23" i="4"/>
  <c r="AI13" i="4"/>
  <c r="W13" i="4"/>
  <c r="K13" i="4"/>
  <c r="AC23" i="4"/>
  <c r="Q13" i="4"/>
  <c r="Q23" i="4"/>
  <c r="AC13" i="4"/>
  <c r="AL55" i="4"/>
  <c r="Z55" i="4"/>
  <c r="N55" i="4"/>
  <c r="AL45" i="4"/>
  <c r="Z45" i="4"/>
  <c r="N45" i="4"/>
  <c r="T55" i="4"/>
  <c r="AF45" i="4"/>
  <c r="AF55" i="4"/>
  <c r="AL35" i="4"/>
  <c r="Z35" i="4"/>
  <c r="N35" i="4"/>
  <c r="AF25" i="4"/>
  <c r="T25" i="4"/>
  <c r="AF15" i="4"/>
  <c r="T15" i="4"/>
  <c r="T45" i="4"/>
  <c r="T35" i="4"/>
  <c r="AL25" i="4"/>
  <c r="Z25" i="4"/>
  <c r="N25" i="4"/>
  <c r="AL15" i="4"/>
  <c r="Z15" i="4"/>
  <c r="N15" i="4"/>
  <c r="AF35" i="4"/>
  <c r="AL53" i="4"/>
  <c r="Z53" i="4"/>
  <c r="N53" i="4"/>
  <c r="AF53" i="4"/>
  <c r="AF43" i="4"/>
  <c r="T43" i="4"/>
  <c r="AL43" i="4"/>
  <c r="T53" i="4"/>
  <c r="AL33" i="4"/>
  <c r="Z33" i="4"/>
  <c r="N33" i="4"/>
  <c r="N43" i="4"/>
  <c r="Z43" i="4"/>
  <c r="AF23" i="4"/>
  <c r="T23" i="4"/>
  <c r="AF13" i="4"/>
  <c r="T13" i="4"/>
  <c r="T33" i="4"/>
  <c r="AF33" i="4"/>
  <c r="AL23" i="4"/>
  <c r="Z23" i="4"/>
  <c r="N23" i="4"/>
  <c r="AL13" i="4"/>
  <c r="Z13" i="4"/>
  <c r="N13" i="4"/>
  <c r="AK47" i="4"/>
  <c r="Y47" i="4"/>
  <c r="M47" i="4"/>
  <c r="AE47" i="4"/>
  <c r="S47" i="4"/>
  <c r="AE37" i="4"/>
  <c r="S37" i="4"/>
  <c r="AK37" i="4"/>
  <c r="Y37" i="4"/>
  <c r="M37" i="4"/>
  <c r="AE27" i="4"/>
  <c r="S27" i="4"/>
  <c r="AE17" i="4"/>
  <c r="S17" i="4"/>
  <c r="AK27" i="4"/>
  <c r="AK7" i="4"/>
  <c r="Y7" i="4"/>
  <c r="M7" i="4"/>
  <c r="M17" i="4"/>
  <c r="M27" i="4"/>
  <c r="Y17" i="4"/>
  <c r="AE7" i="4"/>
  <c r="S7" i="4"/>
  <c r="Y27" i="4"/>
  <c r="AK17" i="4"/>
  <c r="AC55" i="4"/>
  <c r="Q55" i="4"/>
  <c r="AC45" i="4"/>
  <c r="Q45" i="4"/>
  <c r="W55" i="4"/>
  <c r="AI45" i="4"/>
  <c r="K45" i="4"/>
  <c r="AI55" i="4"/>
  <c r="K55" i="4"/>
  <c r="W45" i="4"/>
  <c r="AI35" i="4"/>
  <c r="W35" i="4"/>
  <c r="K35" i="4"/>
  <c r="AC35" i="4"/>
  <c r="Q35" i="4"/>
  <c r="AI25" i="4"/>
  <c r="W25" i="4"/>
  <c r="K25" i="4"/>
  <c r="AI15" i="4"/>
  <c r="W15" i="4"/>
  <c r="K15" i="4"/>
  <c r="Q25" i="4"/>
  <c r="AC15" i="4"/>
  <c r="AC25" i="4"/>
  <c r="Q15" i="4"/>
  <c r="AK51" i="4"/>
  <c r="Y51" i="4"/>
  <c r="M51" i="4"/>
  <c r="AE51" i="4"/>
  <c r="AK41" i="4"/>
  <c r="Y41" i="4"/>
  <c r="M41" i="4"/>
  <c r="S51" i="4"/>
  <c r="AE41" i="4"/>
  <c r="S41" i="4"/>
  <c r="AE31" i="4"/>
  <c r="S31" i="4"/>
  <c r="AK31" i="4"/>
  <c r="Y31" i="4"/>
  <c r="M31" i="4"/>
  <c r="AE21" i="4"/>
  <c r="S21" i="4"/>
  <c r="AE11" i="4"/>
  <c r="S11" i="4"/>
  <c r="Y21" i="4"/>
  <c r="AK11" i="4"/>
  <c r="Y11" i="4"/>
  <c r="AK21" i="4"/>
  <c r="M11" i="4"/>
  <c r="M21" i="4"/>
  <c r="AG55" i="4"/>
  <c r="U55" i="4"/>
  <c r="AG45" i="4"/>
  <c r="U45" i="4"/>
  <c r="AM55" i="4"/>
  <c r="O55" i="4"/>
  <c r="AA45" i="4"/>
  <c r="AA55" i="4"/>
  <c r="AM45" i="4"/>
  <c r="O45" i="4"/>
  <c r="AM35" i="4"/>
  <c r="AA35" i="4"/>
  <c r="O35" i="4"/>
  <c r="AG35" i="4"/>
  <c r="U35" i="4"/>
  <c r="AM25" i="4"/>
  <c r="AA25" i="4"/>
  <c r="O25" i="4"/>
  <c r="AM15" i="4"/>
  <c r="AA15" i="4"/>
  <c r="O15" i="4"/>
  <c r="AG25" i="4"/>
  <c r="U15" i="4"/>
  <c r="U25" i="4"/>
  <c r="AG15" i="4"/>
  <c r="AG51" i="4"/>
  <c r="U51" i="4"/>
  <c r="AM51" i="4"/>
  <c r="O51" i="4"/>
  <c r="AG41" i="4"/>
  <c r="U41" i="4"/>
  <c r="AA51" i="4"/>
  <c r="AM41" i="4"/>
  <c r="AA41" i="4"/>
  <c r="O41" i="4"/>
  <c r="AM31" i="4"/>
  <c r="AA31" i="4"/>
  <c r="O31" i="4"/>
  <c r="AG31" i="4"/>
  <c r="U31" i="4"/>
  <c r="AM21" i="4"/>
  <c r="AA21" i="4"/>
  <c r="O21" i="4"/>
  <c r="AM11" i="4"/>
  <c r="AA11" i="4"/>
  <c r="O11" i="4"/>
  <c r="U21" i="4"/>
  <c r="AG11" i="4"/>
  <c r="AG21" i="4"/>
  <c r="U11" i="4"/>
  <c r="AK55" i="4"/>
  <c r="Y55" i="4"/>
  <c r="M55" i="4"/>
  <c r="AK45" i="4"/>
  <c r="Y45" i="4"/>
  <c r="M45" i="4"/>
  <c r="AE55" i="4"/>
  <c r="S45" i="4"/>
  <c r="S55" i="4"/>
  <c r="AE45" i="4"/>
  <c r="AE35" i="4"/>
  <c r="S35" i="4"/>
  <c r="AK35" i="4"/>
  <c r="Y35" i="4"/>
  <c r="M35" i="4"/>
  <c r="AE25" i="4"/>
  <c r="S25" i="4"/>
  <c r="AE15" i="4"/>
  <c r="S15" i="4"/>
  <c r="M15" i="4"/>
  <c r="M25" i="4"/>
  <c r="Y15" i="4"/>
  <c r="Y25" i="4"/>
  <c r="AK15" i="4"/>
  <c r="AK25" i="4"/>
  <c r="AB31" i="4" l="1"/>
  <c r="J51" i="4"/>
  <c r="P31" i="4"/>
  <c r="J31" i="4"/>
  <c r="V31" i="4"/>
  <c r="AH11" i="4"/>
  <c r="P21" i="4"/>
  <c r="AH41" i="4"/>
  <c r="J21" i="4"/>
  <c r="AB21" i="4"/>
  <c r="P41" i="4"/>
  <c r="J11" i="4"/>
  <c r="V21" i="4"/>
  <c r="P11" i="4"/>
  <c r="V41" i="4"/>
  <c r="AH31" i="4"/>
  <c r="AB41" i="4"/>
  <c r="AH51" i="4"/>
  <c r="V11" i="4"/>
  <c r="AH21" i="4"/>
  <c r="AB11" i="4"/>
  <c r="J41" i="4"/>
  <c r="P51" i="4"/>
  <c r="AC7" i="4"/>
  <c r="W27" i="4"/>
  <c r="Q27" i="4"/>
  <c r="W17" i="4"/>
  <c r="Q37" i="4"/>
  <c r="AI47" i="4"/>
  <c r="AC27" i="4"/>
  <c r="K17" i="4"/>
  <c r="AI27" i="4"/>
  <c r="AI37" i="4"/>
  <c r="W7" i="4"/>
  <c r="Q7" i="4"/>
  <c r="AI17" i="4"/>
  <c r="K37" i="4"/>
  <c r="W47" i="4"/>
  <c r="K7" i="4"/>
  <c r="AC17" i="4"/>
  <c r="Q17" i="4"/>
  <c r="K27" i="4"/>
  <c r="AC37" i="4"/>
  <c r="K47" i="4"/>
  <c r="R27" i="4"/>
  <c r="AD10" i="4" l="1"/>
  <c r="R6" i="4"/>
  <c r="AJ6" i="4"/>
  <c r="AD51" i="4"/>
  <c r="R41" i="4"/>
  <c r="AJ11" i="4"/>
  <c r="R11" i="4"/>
  <c r="R51" i="4"/>
  <c r="X41" i="4"/>
  <c r="AD41" i="4"/>
  <c r="AJ21" i="4"/>
  <c r="X11" i="4"/>
  <c r="R21" i="4"/>
  <c r="X21" i="4"/>
  <c r="AJ51" i="4"/>
  <c r="L41" i="4"/>
  <c r="AD31" i="4"/>
  <c r="L11" i="4"/>
  <c r="AD11" i="4"/>
  <c r="L51" i="4"/>
  <c r="X51" i="4"/>
  <c r="R31" i="4"/>
  <c r="L21" i="4"/>
  <c r="L31" i="4"/>
  <c r="X31" i="4"/>
  <c r="AJ41" i="4"/>
  <c r="AJ31" i="4"/>
  <c r="AD21" i="4"/>
  <c r="AC51" i="4"/>
  <c r="K31" i="4"/>
  <c r="K11" i="4"/>
  <c r="Q51" i="4"/>
  <c r="AI51" i="4"/>
  <c r="K41" i="4"/>
  <c r="AC31" i="4"/>
  <c r="K21" i="4"/>
  <c r="Q11" i="4"/>
  <c r="W51" i="4"/>
  <c r="AI31" i="4"/>
  <c r="AI11" i="4"/>
  <c r="K51" i="4"/>
  <c r="Q31" i="4"/>
  <c r="Q21" i="4"/>
  <c r="AC41" i="4"/>
  <c r="AI41" i="4"/>
  <c r="W31" i="4"/>
  <c r="AI21" i="4"/>
  <c r="W11" i="4"/>
  <c r="AC11" i="4"/>
  <c r="Q41" i="4"/>
  <c r="W41" i="4"/>
  <c r="W21" i="4"/>
  <c r="AC21" i="4"/>
  <c r="AJ26" i="4"/>
  <c r="AJ16" i="4"/>
  <c r="R50" i="4"/>
  <c r="L46" i="4"/>
  <c r="R36" i="4"/>
  <c r="AD16" i="4"/>
  <c r="R16" i="4"/>
  <c r="X6" i="4"/>
  <c r="AD36" i="4"/>
  <c r="X30" i="4"/>
  <c r="AJ30" i="4"/>
  <c r="L20" i="4"/>
  <c r="X46" i="4"/>
  <c r="R26" i="4"/>
  <c r="L26" i="4"/>
  <c r="X36" i="4"/>
  <c r="L16" i="4"/>
  <c r="X16" i="4"/>
  <c r="AJ46" i="4"/>
  <c r="AJ40" i="4"/>
  <c r="R46" i="4"/>
  <c r="AD46" i="4"/>
  <c r="L6" i="4"/>
  <c r="AD6" i="4"/>
  <c r="AD26" i="4"/>
  <c r="L36" i="4"/>
  <c r="X26" i="4"/>
  <c r="AJ36" i="4"/>
  <c r="L30" i="4"/>
  <c r="X40" i="4"/>
  <c r="AD30" i="4"/>
  <c r="L40" i="4"/>
  <c r="R20" i="4"/>
  <c r="R40" i="4"/>
  <c r="AC50" i="4"/>
  <c r="AC10" i="4"/>
  <c r="Q20" i="4"/>
  <c r="K10" i="4"/>
  <c r="K50" i="4"/>
  <c r="AC20" i="4"/>
  <c r="Q10" i="4"/>
  <c r="Q50" i="4"/>
  <c r="Q40" i="4"/>
  <c r="Q30" i="4"/>
  <c r="K20" i="4"/>
  <c r="AC40" i="4"/>
  <c r="AC30" i="4"/>
  <c r="AI10" i="4"/>
  <c r="W40" i="4"/>
  <c r="AI30" i="4"/>
  <c r="AI20" i="4"/>
  <c r="AI40" i="4"/>
  <c r="K30" i="4"/>
  <c r="W10" i="4"/>
  <c r="W50" i="4"/>
  <c r="K40" i="4"/>
  <c r="W20" i="4"/>
  <c r="AI50" i="4"/>
  <c r="W30" i="4"/>
  <c r="R18" i="4"/>
  <c r="X47" i="4"/>
  <c r="L37" i="4"/>
  <c r="L17" i="4"/>
  <c r="X37" i="4"/>
  <c r="AD17" i="4"/>
  <c r="R17" i="4"/>
  <c r="AD27" i="4"/>
  <c r="R47" i="4"/>
  <c r="L47" i="4"/>
  <c r="AD47" i="4"/>
  <c r="AJ47" i="4"/>
  <c r="X27" i="4"/>
  <c r="AD37" i="4"/>
  <c r="X7" i="4"/>
  <c r="AJ27" i="4"/>
  <c r="AJ37" i="4"/>
  <c r="R37" i="4"/>
  <c r="L7" i="4"/>
  <c r="AJ7" i="4"/>
  <c r="AD7" i="4"/>
  <c r="L27" i="4"/>
  <c r="R7" i="4"/>
  <c r="X17" i="4"/>
  <c r="AJ17" i="4"/>
  <c r="R39" i="4"/>
  <c r="AI49" i="4"/>
  <c r="W49" i="4"/>
  <c r="AI29" i="4"/>
  <c r="W19" i="4"/>
  <c r="Q19" i="4"/>
  <c r="W9" i="4"/>
  <c r="W39" i="4"/>
  <c r="Q39" i="4"/>
  <c r="AI19" i="4"/>
  <c r="AI9" i="4"/>
  <c r="K49" i="4"/>
  <c r="AI39" i="4"/>
  <c r="W29" i="4"/>
  <c r="K19" i="4"/>
  <c r="Q29" i="4"/>
  <c r="K9" i="4"/>
  <c r="AC49" i="4"/>
  <c r="K29" i="4"/>
  <c r="AC9" i="4"/>
  <c r="AC29" i="4"/>
  <c r="Q49" i="4"/>
  <c r="K39" i="4"/>
  <c r="Q9" i="4"/>
  <c r="AC39" i="4"/>
  <c r="AC19" i="4"/>
  <c r="X49" i="4"/>
  <c r="AD39" i="4"/>
  <c r="M46" i="4"/>
  <c r="AK36" i="4"/>
  <c r="S26" i="4"/>
  <c r="AE16" i="4"/>
  <c r="M26" i="4"/>
  <c r="AK6" i="4"/>
  <c r="M6" i="4"/>
  <c r="Y6" i="4"/>
  <c r="AK16" i="4"/>
  <c r="M16" i="4"/>
  <c r="Y36" i="4"/>
  <c r="AE6" i="4"/>
  <c r="S46" i="4"/>
  <c r="Y46" i="4"/>
  <c r="Y26" i="4"/>
  <c r="AK26" i="4"/>
  <c r="AE26" i="4"/>
  <c r="AE46" i="4"/>
  <c r="M36" i="4"/>
  <c r="Y16" i="4"/>
  <c r="S36" i="4"/>
  <c r="AK46" i="4"/>
  <c r="S16" i="4"/>
  <c r="AE36" i="4"/>
  <c r="S6" i="4"/>
  <c r="L10" i="4" l="1"/>
  <c r="AJ10" i="4"/>
  <c r="AJ20" i="4"/>
  <c r="X20" i="4"/>
  <c r="AJ50" i="4"/>
  <c r="AD50" i="4"/>
  <c r="AD20" i="4"/>
  <c r="L50" i="4"/>
  <c r="R30" i="4"/>
  <c r="X10" i="4"/>
  <c r="R10" i="4"/>
  <c r="X50" i="4"/>
  <c r="AD40" i="4"/>
  <c r="AJ48" i="4"/>
  <c r="AJ28" i="4"/>
  <c r="X48" i="4"/>
  <c r="AJ18" i="4"/>
  <c r="AD18" i="4"/>
  <c r="L28" i="4"/>
  <c r="L18" i="4"/>
  <c r="R28" i="4"/>
  <c r="AD48" i="4"/>
  <c r="AD28" i="4"/>
  <c r="R38" i="4"/>
  <c r="L8" i="4"/>
  <c r="X8" i="4"/>
  <c r="L38" i="4"/>
  <c r="X38" i="4"/>
  <c r="AD38" i="4"/>
  <c r="X18" i="4"/>
  <c r="AD8" i="4"/>
  <c r="R48" i="4"/>
  <c r="X28" i="4"/>
  <c r="AJ8" i="4"/>
  <c r="R8" i="4"/>
  <c r="AJ38" i="4"/>
  <c r="L48" i="4"/>
  <c r="AD29" i="4"/>
  <c r="AD49" i="4"/>
  <c r="AJ19" i="4"/>
  <c r="AJ39" i="4"/>
  <c r="X29" i="4"/>
  <c r="L49" i="4"/>
  <c r="AJ9" i="4"/>
  <c r="AD9" i="4"/>
  <c r="L29" i="4"/>
  <c r="X39" i="4"/>
  <c r="R19" i="4"/>
  <c r="L9" i="4"/>
  <c r="X9" i="4"/>
  <c r="X19" i="4"/>
  <c r="R49" i="4"/>
  <c r="AJ49" i="4"/>
  <c r="AD19" i="4"/>
  <c r="R9" i="4"/>
  <c r="AJ29" i="4"/>
  <c r="L19" i="4"/>
  <c r="L39" i="4"/>
  <c r="R29" i="4"/>
  <c r="AK39" i="4"/>
  <c r="Z36" i="4"/>
  <c r="AL26" i="4"/>
  <c r="AL46" i="4"/>
  <c r="N16" i="4"/>
  <c r="N36" i="4"/>
  <c r="T46" i="4"/>
  <c r="N26" i="4"/>
  <c r="T6" i="4"/>
  <c r="AF6" i="4"/>
  <c r="Z46" i="4"/>
  <c r="T26" i="4"/>
  <c r="AL6" i="4"/>
  <c r="AL36" i="4"/>
  <c r="Z26" i="4"/>
  <c r="Z16" i="4"/>
  <c r="T16" i="4"/>
  <c r="T36" i="4"/>
  <c r="N46" i="4"/>
  <c r="N6" i="4"/>
  <c r="Z6" i="4"/>
  <c r="AF36" i="4"/>
  <c r="AF26" i="4"/>
  <c r="AF46" i="4"/>
  <c r="AL16" i="4"/>
  <c r="AF16" i="4"/>
  <c r="M9" i="4" l="1"/>
  <c r="M39" i="4"/>
  <c r="Y29" i="4"/>
  <c r="Y49" i="4"/>
  <c r="M49" i="4"/>
  <c r="S49" i="4"/>
  <c r="S9" i="4"/>
  <c r="AK9" i="4"/>
  <c r="Y9" i="4"/>
  <c r="AK29" i="4"/>
  <c r="AE19" i="4"/>
  <c r="AE49" i="4"/>
  <c r="S19" i="4"/>
  <c r="AE39" i="4"/>
  <c r="S39" i="4"/>
  <c r="M29" i="4"/>
  <c r="Y19" i="4"/>
  <c r="AK49" i="4"/>
  <c r="T49" i="4"/>
  <c r="AK19" i="4"/>
  <c r="AE29" i="4"/>
  <c r="AE9" i="4"/>
  <c r="Y39" i="4"/>
  <c r="S29" i="4"/>
  <c r="M19" i="4"/>
  <c r="N29" i="4" l="1"/>
  <c r="AF49" i="4"/>
  <c r="Z9" i="4"/>
  <c r="N19" i="4"/>
  <c r="Z39" i="4"/>
  <c r="AL39" i="4"/>
  <c r="AF29" i="4"/>
  <c r="Z29" i="4"/>
  <c r="AL9" i="4"/>
  <c r="T9" i="4"/>
  <c r="AF39" i="4"/>
  <c r="N49" i="4"/>
  <c r="AF19" i="4"/>
  <c r="AL49" i="4"/>
  <c r="T29" i="4"/>
  <c r="AL29" i="4"/>
  <c r="AL19" i="4"/>
  <c r="Z49" i="4"/>
  <c r="N9" i="4"/>
  <c r="T39" i="4"/>
  <c r="N39" i="4"/>
  <c r="T19" i="4"/>
  <c r="Z19" i="4"/>
  <c r="AF9" i="4"/>
  <c r="U49" i="4"/>
  <c r="AM49" i="4"/>
  <c r="O39" i="4"/>
  <c r="AM19" i="4"/>
  <c r="AG9" i="4"/>
  <c r="AG29" i="4"/>
  <c r="AA29" i="4"/>
  <c r="U39" i="4"/>
  <c r="O29" i="4"/>
  <c r="AA49" i="4"/>
  <c r="O49" i="4"/>
  <c r="AM29" i="4"/>
  <c r="AA19" i="4"/>
  <c r="U9" i="4"/>
  <c r="AM9" i="4"/>
  <c r="AG39" i="4"/>
  <c r="O19" i="4"/>
  <c r="AA9" i="4"/>
  <c r="AG49" i="4"/>
  <c r="AG19" i="4"/>
  <c r="AM39" i="4"/>
  <c r="U29" i="4"/>
  <c r="AA39" i="4"/>
  <c r="U19" i="4"/>
  <c r="O9" i="4"/>
  <c r="K36" i="2" l="1"/>
  <c r="L36" i="2" s="1"/>
  <c r="K41" i="2"/>
  <c r="L41" i="2" s="1"/>
  <c r="K26" i="2"/>
  <c r="L26" i="2" s="1"/>
  <c r="K31" i="2"/>
  <c r="L31" i="2" s="1"/>
  <c r="K16" i="2"/>
  <c r="K21" i="2"/>
  <c r="L21" i="2" s="1"/>
  <c r="M21" i="2" l="1"/>
  <c r="N21" i="2"/>
  <c r="M31" i="2"/>
  <c r="AB31" i="2" s="1"/>
  <c r="AA31" i="2" s="1"/>
  <c r="N31" i="2"/>
  <c r="M26" i="2"/>
  <c r="N26" i="2"/>
  <c r="N41" i="2"/>
  <c r="M41" i="2"/>
  <c r="N36" i="2"/>
  <c r="M36" i="2"/>
  <c r="AB21" i="2"/>
  <c r="N6" i="3"/>
  <c r="L16" i="2"/>
  <c r="N16" i="2" s="1"/>
  <c r="N24" i="3"/>
  <c r="N16" i="3"/>
  <c r="N32" i="3"/>
  <c r="AL16" i="3"/>
  <c r="Z32" i="3"/>
  <c r="AF32" i="3"/>
  <c r="Z24" i="3"/>
  <c r="N8" i="3"/>
  <c r="AF16" i="3"/>
  <c r="N40" i="3"/>
  <c r="AL8" i="3"/>
  <c r="AL40" i="3"/>
  <c r="AF40" i="3"/>
  <c r="T32" i="3"/>
  <c r="T40" i="3"/>
  <c r="T16" i="3"/>
  <c r="Z8" i="3"/>
  <c r="AF24" i="3"/>
  <c r="AL32" i="3"/>
  <c r="Z16" i="3"/>
  <c r="T24" i="3"/>
  <c r="T8" i="3"/>
  <c r="AL24" i="3"/>
  <c r="AF8" i="3"/>
  <c r="Z40" i="3"/>
  <c r="P40" i="3"/>
  <c r="P16" i="3"/>
  <c r="P8" i="3"/>
  <c r="V40" i="3"/>
  <c r="V32" i="3"/>
  <c r="AB8" i="3"/>
  <c r="V16" i="3"/>
  <c r="J8" i="3"/>
  <c r="AB40" i="3"/>
  <c r="V24" i="3"/>
  <c r="P32" i="3"/>
  <c r="AB16" i="3"/>
  <c r="J40" i="3"/>
  <c r="J16" i="3"/>
  <c r="AH32" i="3"/>
  <c r="AH24" i="3"/>
  <c r="AH8" i="3"/>
  <c r="V8" i="3"/>
  <c r="J32" i="3"/>
  <c r="J24" i="3"/>
  <c r="AB32" i="3"/>
  <c r="AH16" i="3"/>
  <c r="P24" i="3"/>
  <c r="AH40" i="3"/>
  <c r="AB24" i="3"/>
  <c r="X38" i="3"/>
  <c r="R6" i="3"/>
  <c r="L6" i="3"/>
  <c r="L14" i="3"/>
  <c r="L30" i="3"/>
  <c r="R30" i="3"/>
  <c r="AD14" i="3"/>
  <c r="L38" i="3"/>
  <c r="AJ22" i="3"/>
  <c r="R14" i="3"/>
  <c r="X30" i="3"/>
  <c r="AD38" i="3"/>
  <c r="X14" i="3"/>
  <c r="R38" i="3"/>
  <c r="AJ14" i="3"/>
  <c r="AD30" i="3"/>
  <c r="L22" i="3"/>
  <c r="AJ30" i="3"/>
  <c r="AD22" i="3"/>
  <c r="R22" i="3"/>
  <c r="X6" i="3"/>
  <c r="AJ6" i="3"/>
  <c r="AD6" i="3"/>
  <c r="X22" i="3"/>
  <c r="AJ38" i="3"/>
  <c r="AC31" i="2" l="1"/>
  <c r="AD31" i="2" s="1"/>
  <c r="P49" i="4"/>
  <c r="AH49" i="4"/>
  <c r="V19" i="4"/>
  <c r="V39" i="4"/>
  <c r="J19" i="4"/>
  <c r="V9" i="4"/>
  <c r="AB39" i="4"/>
  <c r="J49" i="4"/>
  <c r="AH9" i="4"/>
  <c r="AH19" i="4"/>
  <c r="J39" i="4"/>
  <c r="AB19" i="4"/>
  <c r="AH29" i="4"/>
  <c r="AH39" i="4"/>
  <c r="AB49" i="4"/>
  <c r="AB9" i="4"/>
  <c r="P9" i="4"/>
  <c r="P39" i="4"/>
  <c r="AB29" i="4"/>
  <c r="J29" i="4"/>
  <c r="V49" i="4"/>
  <c r="P29" i="4"/>
  <c r="V29" i="4"/>
  <c r="J9" i="4"/>
  <c r="P19" i="4"/>
  <c r="AB23" i="2"/>
  <c r="AA23" i="2" s="1"/>
  <c r="AB22" i="2"/>
  <c r="AA22" i="2" s="1"/>
  <c r="AA21" i="2"/>
  <c r="J38" i="3"/>
  <c r="V6" i="3"/>
  <c r="AH14" i="3"/>
  <c r="AB38" i="3"/>
  <c r="AH22" i="3"/>
  <c r="AH30" i="3"/>
  <c r="P30" i="3"/>
  <c r="J30" i="3"/>
  <c r="AB22" i="3"/>
  <c r="AL30" i="3"/>
  <c r="AL22" i="3"/>
  <c r="T30" i="3"/>
  <c r="AF30" i="3"/>
  <c r="AF22" i="3"/>
  <c r="Z14" i="3"/>
  <c r="N14" i="3"/>
  <c r="AF6" i="3"/>
  <c r="AL38" i="3"/>
  <c r="T14" i="3"/>
  <c r="T6" i="3"/>
  <c r="Z38" i="3"/>
  <c r="T38" i="3"/>
  <c r="Z22" i="3"/>
  <c r="AL6" i="3"/>
  <c r="AF38" i="3"/>
  <c r="N30" i="3"/>
  <c r="AL14" i="3"/>
  <c r="N22" i="3"/>
  <c r="Z6" i="3"/>
  <c r="AF14" i="3"/>
  <c r="T22" i="3"/>
  <c r="N38" i="3"/>
  <c r="L24" i="3"/>
  <c r="AJ32" i="3"/>
  <c r="Z30" i="3"/>
  <c r="AB26" i="2"/>
  <c r="X24" i="3"/>
  <c r="X8" i="3"/>
  <c r="R32" i="3"/>
  <c r="L8" i="3"/>
  <c r="AJ40" i="3"/>
  <c r="AD32" i="3"/>
  <c r="AJ8" i="3"/>
  <c r="L16" i="3"/>
  <c r="L32" i="3"/>
  <c r="X16" i="3"/>
  <c r="AD24" i="3"/>
  <c r="M16" i="2"/>
  <c r="AJ24" i="3"/>
  <c r="AD16" i="3"/>
  <c r="R24" i="3"/>
  <c r="AD8" i="3"/>
  <c r="R8" i="3"/>
  <c r="R40" i="3"/>
  <c r="R16" i="3"/>
  <c r="AJ16" i="3"/>
  <c r="X32" i="3"/>
  <c r="X40" i="3"/>
  <c r="AD40" i="3"/>
  <c r="L40" i="3"/>
  <c r="J22" i="3"/>
  <c r="P22" i="3"/>
  <c r="AB14" i="3"/>
  <c r="AH6" i="3"/>
  <c r="V38" i="3"/>
  <c r="AB6" i="3"/>
  <c r="V14" i="3"/>
  <c r="V30" i="3"/>
  <c r="AH38" i="3"/>
  <c r="P38" i="3"/>
  <c r="V22" i="3"/>
  <c r="AB30" i="3"/>
  <c r="P6" i="3"/>
  <c r="J14" i="3"/>
  <c r="P14" i="3"/>
  <c r="J6" i="3"/>
  <c r="AA26" i="2" l="1"/>
  <c r="V48" i="4" s="1"/>
  <c r="AB27" i="2"/>
  <c r="AA27" i="2" s="1"/>
  <c r="AB16" i="2"/>
  <c r="AB17" i="2" s="1"/>
  <c r="AA17" i="2" s="1"/>
  <c r="AC21" i="2"/>
  <c r="J47" i="4"/>
  <c r="AH27" i="4"/>
  <c r="J27" i="4"/>
  <c r="AB37" i="4"/>
  <c r="AB27" i="4"/>
  <c r="AB17" i="4"/>
  <c r="V47" i="4"/>
  <c r="V37" i="4"/>
  <c r="P27" i="4"/>
  <c r="P47" i="4"/>
  <c r="AH37" i="4"/>
  <c r="V27" i="4"/>
  <c r="AH7" i="4"/>
  <c r="AH17" i="4"/>
  <c r="AB47" i="4"/>
  <c r="P17" i="4"/>
  <c r="J17" i="4"/>
  <c r="J37" i="4"/>
  <c r="V17" i="4"/>
  <c r="J7" i="4"/>
  <c r="P37" i="4"/>
  <c r="P7" i="4"/>
  <c r="AH47" i="4"/>
  <c r="AB7" i="4"/>
  <c r="V7" i="4"/>
  <c r="AC26" i="2"/>
  <c r="J18" i="4"/>
  <c r="J8" i="4"/>
  <c r="P18" i="4"/>
  <c r="V18" i="4"/>
  <c r="V28" i="4"/>
  <c r="P48" i="4"/>
  <c r="AH18" i="4"/>
  <c r="AB8" i="4"/>
  <c r="AB18" i="4"/>
  <c r="V8" i="4"/>
  <c r="AH38" i="4"/>
  <c r="P8" i="4"/>
  <c r="AB38" i="4"/>
  <c r="J38" i="4"/>
  <c r="AH28" i="4"/>
  <c r="AB28" i="4"/>
  <c r="AB48" i="4"/>
  <c r="AH8" i="4"/>
  <c r="J48" i="4"/>
  <c r="V38" i="4"/>
  <c r="P38" i="4"/>
  <c r="J28" i="4"/>
  <c r="AH48" i="4"/>
  <c r="P28" i="4"/>
  <c r="AC22" i="2"/>
  <c r="T27" i="4"/>
  <c r="AF7" i="4"/>
  <c r="T37" i="4"/>
  <c r="Z27" i="4"/>
  <c r="N7" i="4"/>
  <c r="Z7" i="4"/>
  <c r="AF37" i="4"/>
  <c r="AL27" i="4"/>
  <c r="N37" i="4"/>
  <c r="N17" i="4"/>
  <c r="AF27" i="4"/>
  <c r="Z47" i="4"/>
  <c r="AL17" i="4"/>
  <c r="AL7" i="4"/>
  <c r="Z17" i="4"/>
  <c r="AF47" i="4"/>
  <c r="N27" i="4"/>
  <c r="AL47" i="4"/>
  <c r="T47" i="4"/>
  <c r="Z37" i="4"/>
  <c r="AL37" i="4"/>
  <c r="N47" i="4"/>
  <c r="T17" i="4"/>
  <c r="AF17" i="4"/>
  <c r="T7" i="4"/>
  <c r="AC23" i="2"/>
  <c r="AM17" i="4"/>
  <c r="O7" i="4"/>
  <c r="AG7" i="4"/>
  <c r="AG17" i="4"/>
  <c r="AA47" i="4"/>
  <c r="AA7" i="4"/>
  <c r="AA27" i="4"/>
  <c r="AG27" i="4"/>
  <c r="AM7" i="4"/>
  <c r="U27" i="4"/>
  <c r="AG47" i="4"/>
  <c r="U7" i="4"/>
  <c r="O47" i="4"/>
  <c r="U17" i="4"/>
  <c r="AG37" i="4"/>
  <c r="U47" i="4"/>
  <c r="O37" i="4"/>
  <c r="AM47" i="4"/>
  <c r="O27" i="4"/>
  <c r="AA37" i="4"/>
  <c r="AM37" i="4"/>
  <c r="O17" i="4"/>
  <c r="AM27" i="4"/>
  <c r="U37" i="4"/>
  <c r="AA17" i="4"/>
  <c r="AC27" i="2" l="1"/>
  <c r="AD26" i="2" s="1"/>
  <c r="Q38" i="4"/>
  <c r="Q48" i="4"/>
  <c r="K38" i="4"/>
  <c r="AC48" i="4"/>
  <c r="Q28" i="4"/>
  <c r="Q8" i="4"/>
  <c r="W28" i="4"/>
  <c r="K48" i="4"/>
  <c r="W38" i="4"/>
  <c r="AC28" i="4"/>
  <c r="AI38" i="4"/>
  <c r="AC18" i="4"/>
  <c r="K28" i="4"/>
  <c r="Q18" i="4"/>
  <c r="AC38" i="4"/>
  <c r="AI8" i="4"/>
  <c r="AC8" i="4"/>
  <c r="W8" i="4"/>
  <c r="K8" i="4"/>
  <c r="W48" i="4"/>
  <c r="K18" i="4"/>
  <c r="AI48" i="4"/>
  <c r="W18" i="4"/>
  <c r="AI28" i="4"/>
  <c r="AI18" i="4"/>
  <c r="AD21" i="2"/>
  <c r="AC17" i="2"/>
  <c r="Q46" i="4"/>
  <c r="K16" i="4"/>
  <c r="AC6" i="4"/>
  <c r="AC26" i="4"/>
  <c r="K26" i="4"/>
  <c r="K46" i="4"/>
  <c r="AI46" i="4"/>
  <c r="K6" i="4"/>
  <c r="AC16" i="4"/>
  <c r="AI6" i="4"/>
  <c r="W6" i="4"/>
  <c r="Q6" i="4"/>
  <c r="AI16" i="4"/>
  <c r="K36" i="4"/>
  <c r="Q26" i="4"/>
  <c r="AC36" i="4"/>
  <c r="W26" i="4"/>
  <c r="W16" i="4"/>
  <c r="AI26" i="4"/>
  <c r="AC46" i="4"/>
  <c r="W46" i="4"/>
  <c r="Q36" i="4"/>
  <c r="AI36" i="4"/>
  <c r="W36" i="4"/>
  <c r="Q16" i="4"/>
  <c r="AA16" i="2"/>
  <c r="V16" i="4" l="1"/>
  <c r="J46" i="4"/>
  <c r="J16" i="4"/>
  <c r="AB6" i="4"/>
  <c r="AC16" i="2"/>
  <c r="AD16" i="2" s="1"/>
  <c r="P46" i="4"/>
  <c r="AH36" i="4"/>
  <c r="V36" i="4"/>
  <c r="AB26" i="4"/>
  <c r="P6" i="4"/>
  <c r="AB46" i="4"/>
  <c r="P36" i="4"/>
  <c r="AH26" i="4"/>
  <c r="V6" i="4"/>
  <c r="J36" i="4"/>
  <c r="V46" i="4"/>
  <c r="J6" i="4"/>
  <c r="J26" i="4"/>
  <c r="P26" i="4"/>
  <c r="AH16" i="4"/>
  <c r="AH46" i="4"/>
  <c r="AB36" i="4"/>
  <c r="V26" i="4"/>
  <c r="AH6" i="4"/>
  <c r="P16" i="4"/>
  <c r="AB1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G16" authorId="0" shapeId="0" xr:uid="{6AB60532-3CE5-43B3-8C3E-09FDCB045910}">
      <text>
        <r>
          <rPr>
            <b/>
            <sz val="9"/>
            <color indexed="81"/>
            <rFont val="Tahoma"/>
            <charset val="1"/>
          </rPr>
          <t>USUARIO:</t>
        </r>
        <r>
          <rPr>
            <sz val="9"/>
            <color indexed="81"/>
            <rFont val="Tahoma"/>
            <charset val="1"/>
          </rPr>
          <t xml:space="preserve">
12 meses * numero de obras a octubre de 2025 "73"</t>
        </r>
      </text>
    </comment>
  </commentList>
</comments>
</file>

<file path=xl/sharedStrings.xml><?xml version="1.0" encoding="utf-8"?>
<sst xmlns="http://schemas.openxmlformats.org/spreadsheetml/2006/main" count="423" uniqueCount="267">
  <si>
    <t>Matriz Mapa de Riesgos</t>
  </si>
  <si>
    <r>
      <rPr>
        <sz val="10"/>
        <color theme="1"/>
        <rFont val="Arial Narrow"/>
        <family val="2"/>
      </rP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 Alcaldía de Pasto frente a la estructuración de los mapas de riesgos, como herramienta fundamental frente a la gestión del riesgo, el presente formato desarrolla un esquema completo acorde con los contenidos metodológicos de la </t>
    </r>
    <r>
      <rPr>
        <b/>
        <sz val="10"/>
        <color rgb="FFE36C09"/>
        <rFont val="Arial Narrow"/>
        <family val="2"/>
      </rPr>
      <t>Guía para la Administración del Riesgo y el diseño de controles V5</t>
    </r>
    <r>
      <rPr>
        <sz val="10"/>
        <color theme="1"/>
        <rFont val="Arial Narrow"/>
        <family val="2"/>
      </rPr>
      <t>. El formato cuenta con celdas parametrizadas y permite contar con los respectivos mapas de calor para riesgo inherente y riesgo residual.</t>
    </r>
  </si>
  <si>
    <t>Orientaciones Generales</t>
  </si>
  <si>
    <r>
      <rPr>
        <sz val="11"/>
        <color theme="1"/>
        <rFont val="Arial Narrow"/>
        <family val="2"/>
      </rPr>
      <t xml:space="preserve">Antes de iniciar con el diligenciamiento de la información en la matriz, se requiere haber avanzado en el análisis del </t>
    </r>
    <r>
      <rPr>
        <b/>
        <sz val="11"/>
        <color theme="1"/>
        <rFont val="Arial Narrow"/>
        <family val="2"/>
      </rPr>
      <t>proceso, su objetivo, alcance, actividades clave</t>
    </r>
    <r>
      <rPr>
        <sz val="11"/>
        <color theme="1"/>
        <rFont val="Arial Narrow"/>
        <family val="2"/>
      </rPr>
      <t xml:space="preserve">, considere los lineamientos establecidos en el </t>
    </r>
    <r>
      <rPr>
        <b/>
        <sz val="11"/>
        <color rgb="FFE36C09"/>
        <rFont val="Arial Narrow"/>
        <family val="2"/>
      </rPr>
      <t>Paso 2: identificación del riesgo</t>
    </r>
    <r>
      <rPr>
        <sz val="11"/>
        <color theme="1"/>
        <rFont val="Arial Narrow"/>
        <family val="2"/>
      </rPr>
      <t xml:space="preserve">, donde se explica ampliamente las bases para adelanter este análisis.
Así mismo, considere en el </t>
    </r>
    <r>
      <rPr>
        <b/>
        <sz val="11"/>
        <color rgb="FFE36C09"/>
        <rFont val="Arial Narrow"/>
        <family val="2"/>
      </rPr>
      <t>Paso 3: valoración del riesgo</t>
    </r>
    <r>
      <rPr>
        <sz val="11"/>
        <color theme="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rgb="FFE36C09"/>
        <rFont val="Arial Narrow"/>
        <family val="2"/>
      </rPr>
      <t>NOTA:</t>
    </r>
    <r>
      <rPr>
        <sz val="11"/>
        <color theme="1"/>
        <rFont val="Arial Narrow"/>
        <family val="2"/>
      </rPr>
      <t xml:space="preserve"> Si lo considera pertinente, es posible agregar hojas de trabajo adicionales al presente formato que permitan incluir la traza de estos análisis.</t>
    </r>
  </si>
  <si>
    <r>
      <rPr>
        <sz val="10"/>
        <color theme="1"/>
        <rFont val="Arial Narrow"/>
        <family val="2"/>
      </rPr>
      <t xml:space="preserve">El archivo contiene las siguientes hojas:
-   </t>
    </r>
    <r>
      <rPr>
        <b/>
        <sz val="11"/>
        <color theme="1"/>
        <rFont val="Arial Narrow"/>
        <family val="2"/>
      </rPr>
      <t>Hoja 1 Instructivo</t>
    </r>
    <r>
      <rPr>
        <sz val="10"/>
        <color theme="1"/>
        <rFont val="Arial Narrow"/>
        <family val="2"/>
      </rPr>
      <t xml:space="preserve">
 -  </t>
    </r>
    <r>
      <rPr>
        <b/>
        <sz val="11"/>
        <color theme="1"/>
        <rFont val="Arial Narrow"/>
        <family val="2"/>
      </rPr>
      <t xml:space="preserve">Hoja 2 Mapa Final: </t>
    </r>
    <r>
      <rPr>
        <sz val="10"/>
        <color theme="1"/>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</si>
  <si>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</si>
  <si>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</si>
  <si>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</si>
  <si>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</si>
  <si>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</si>
  <si>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</si>
  <si>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</si>
  <si>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</si>
  <si>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</si>
  <si>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</si>
  <si>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</si>
  <si>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</si>
  <si>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</si>
  <si>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</si>
  <si>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</si>
  <si>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</si>
  <si>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</si>
  <si>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rPr>
        <sz val="9"/>
        <color theme="1"/>
        <rFont val="Arial Narrow"/>
        <family val="2"/>
      </rP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rgb="FFE36C09"/>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</si>
  <si>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</si>
  <si>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</si>
  <si>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</si>
  <si>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</si>
  <si>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</si>
  <si>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</si>
  <si>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</si>
  <si>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</si>
  <si>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</si>
  <si>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rPr>
        <sz val="9"/>
        <color theme="1"/>
        <rFont val="Arial Narrow"/>
        <family val="2"/>
      </rPr>
      <t xml:space="preserve">Recuerde que el control se define como la medida que permite reducir o mitigar un riesgo. Defina el control (es) que atacan la causa raíz del riesgo, considere la estructura explicada en la guía: </t>
    </r>
    <r>
      <rPr>
        <b/>
        <sz val="9"/>
        <color rgb="FFE36C09"/>
        <rFont val="Arial Narrow"/>
        <family val="2"/>
      </rPr>
      <t>Responsable de ejecutar el control + Acción + Complemento</t>
    </r>
  </si>
  <si>
    <t>Afectación</t>
  </si>
  <si>
    <t>Esta casilla no se diligencia, depende de la selección en la columna R.</t>
  </si>
  <si>
    <r>
      <rPr>
        <b/>
        <sz val="9"/>
        <color theme="1"/>
        <rFont val="Arial Narrow"/>
        <family val="2"/>
      </rPr>
      <t xml:space="preserve">ATRIBUTOS EFICIENCIA
</t>
    </r>
    <r>
      <rPr>
        <sz val="9"/>
        <color theme="1"/>
        <rFont val="Arial Narrow"/>
        <family val="2"/>
      </rPr>
      <t>Tipo</t>
    </r>
  </si>
  <si>
    <t>Utilice la lista de despligue que se encuentra parametrizada, le aparecerán las opciones: i)Preventivo, ii)Detectivo, iii)Correctivo.</t>
  </si>
  <si>
    <r>
      <rPr>
        <b/>
        <sz val="9"/>
        <color theme="1"/>
        <rFont val="Arial Narrow"/>
        <family val="2"/>
      </rPr>
      <t xml:space="preserve">ATRIBUTOS EFICIENCIA
</t>
    </r>
    <r>
      <rPr>
        <sz val="9"/>
        <color theme="1"/>
        <rFont val="Arial Narrow"/>
        <family val="2"/>
      </rPr>
      <t>Implementación</t>
    </r>
  </si>
  <si>
    <t>Utilice la lista de despligue que se encuentra parametrizada, le aparecerán las opciones: i)Automático, ii)Manual.</t>
  </si>
  <si>
    <r>
      <rPr>
        <b/>
        <sz val="9"/>
        <color theme="1"/>
        <rFont val="Arial Narrow"/>
        <family val="2"/>
      </rPr>
      <t xml:space="preserve">ATRIBUTOS EFICIENCIA
</t>
    </r>
    <r>
      <rPr>
        <sz val="9"/>
        <color theme="1"/>
        <rFont val="Arial Narrow"/>
        <family val="2"/>
      </rPr>
      <t>Implementación</t>
    </r>
  </si>
  <si>
    <r>
      <rPr>
        <b/>
        <sz val="9"/>
        <color theme="1"/>
        <rFont val="Arial Narrow"/>
        <family val="2"/>
      </rPr>
      <t xml:space="preserve">ATRIBUTOS EFICIENCIA
</t>
    </r>
    <r>
      <rPr>
        <sz val="9"/>
        <color theme="1"/>
        <rFont val="Arial Narrow"/>
        <family val="2"/>
      </rPr>
      <t>Calificación</t>
    </r>
  </si>
  <si>
    <t xml:space="preserve">La matriz automáticamente hará el cálculo para el control analizado (Columna T) </t>
  </si>
  <si>
    <r>
      <rPr>
        <b/>
        <sz val="9"/>
        <color theme="1"/>
        <rFont val="Arial Narrow"/>
        <family val="2"/>
      </rPr>
      <t xml:space="preserve">ATRIBUTOS INFORMATIVOS
</t>
    </r>
    <r>
      <rPr>
        <sz val="9"/>
        <color theme="1"/>
        <rFont val="Arial Narrow"/>
        <family val="2"/>
      </rPr>
      <t>Documentación</t>
    </r>
  </si>
  <si>
    <t>Utilice la lista de despligue que se encuentra parametrizada, le aparecerán las opciones: i)Documentado, ii)Sin documentar.</t>
  </si>
  <si>
    <r>
      <rPr>
        <b/>
        <sz val="9"/>
        <color theme="1"/>
        <rFont val="Arial Narrow"/>
        <family val="2"/>
      </rPr>
      <t xml:space="preserve">ATRIBUTOS INFORMATIVOS
</t>
    </r>
    <r>
      <rPr>
        <sz val="9"/>
        <color theme="1"/>
        <rFont val="Arial Narrow"/>
        <family val="2"/>
      </rPr>
      <t>Frecuencia</t>
    </r>
  </si>
  <si>
    <t>Utilice la lista de despligue que se encuentra parametrizada, le aparecerán las opciones: i)Continua, ii)Aleatoria.</t>
  </si>
  <si>
    <r>
      <rPr>
        <b/>
        <sz val="9"/>
        <color theme="1"/>
        <rFont val="Arial Narrow"/>
        <family val="2"/>
      </rPr>
      <t xml:space="preserve">ATRIBUTOS INFORMATIVOS
</t>
    </r>
    <r>
      <rPr>
        <sz val="9"/>
        <color theme="1"/>
        <rFont val="Arial Narrow"/>
        <family val="2"/>
      </rPr>
      <t>Registro</t>
    </r>
  </si>
  <si>
    <t>Utilice la lista de despligue que se encuentra parametrizada, le aparecerán las opciones: i)Con Registro, ii) Sin Registro.</t>
  </si>
  <si>
    <t>Evaluación del Nivel de Riesgo - Nivel de Riesgo Residual</t>
  </si>
  <si>
    <r>
      <rPr>
        <sz val="9"/>
        <color theme="1"/>
        <rFont val="Arial Narrow"/>
        <family val="2"/>
      </rPr>
      <t>La matriz automáticamente hará el cálculo, acorde con el control o controles definidos con sus atributos analizados, lo que permitirá establecer el</t>
    </r>
    <r>
      <rPr>
        <b/>
        <sz val="9"/>
        <color rgb="FFE36C09"/>
        <rFont val="Arial Narrow"/>
        <family val="2"/>
      </rPr>
      <t xml:space="preserve"> nivel de riesgo inherente</t>
    </r>
    <r>
      <rPr>
        <sz val="9"/>
        <color theme="1"/>
        <rFont val="Arial Narrow"/>
        <family val="2"/>
      </rPr>
      <t xml:space="preserve"> (Columnas Y- Z- AA -AB- AC).</t>
    </r>
  </si>
  <si>
    <t>Tratamiento</t>
  </si>
  <si>
    <t>Utilice la lista de despligue que se encuentra parametrizada, le aparecerán las opciones: i)Aceptar, ii)Evitar, iii)Reducir (compartir), iv)Reducir (mitigar).</t>
  </si>
  <si>
    <r>
      <rPr>
        <b/>
        <sz val="9"/>
        <color theme="1"/>
        <rFont val="Arial Narrow"/>
        <family val="2"/>
      </rPr>
      <t xml:space="preserve">Plan de Acción
</t>
    </r>
    <r>
      <rPr>
        <sz val="9"/>
        <color theme="1"/>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</si>
  <si>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</si>
  <si>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</si>
  <si>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</si>
  <si>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rPr>
        <sz val="10"/>
        <color theme="1"/>
        <rFont val="Arial Narrow"/>
        <family val="2"/>
      </rPr>
      <t xml:space="preserve"> -</t>
    </r>
    <r>
      <rPr>
        <sz val="11"/>
        <color theme="1"/>
        <rFont val="Arial Narrow"/>
        <family val="2"/>
      </rPr>
      <t xml:space="preserve"> </t>
    </r>
    <r>
      <rPr>
        <b/>
        <sz val="11"/>
        <color theme="1"/>
        <rFont val="Arial Narrow"/>
        <family val="2"/>
      </rPr>
      <t xml:space="preserve"> Hoja 3 Matriz de Calor Inherente: </t>
    </r>
    <r>
      <rPr>
        <sz val="11"/>
        <color theme="1"/>
        <rFont val="Arial Narrow"/>
        <family val="2"/>
      </rPr>
      <t xml:space="preserve"> En esta hoja, en la medida en que ese diligencia el Mapa Final, se verán reflejados los riesgos en su zona correspondiente. Esta hoja no se diligencia se genera de manera automática.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</si>
  <si>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4 Matriz de Calor Residual: </t>
    </r>
    <r>
      <rPr>
        <sz val="11"/>
        <color theme="1"/>
        <rFont val="Arial Narrow"/>
        <family val="2"/>
      </rPr>
      <t>En esta hoja, en la medida en que ese diligencia el Mapa Final, se verán reflejados los riesgos en su zona correspondiente. Esta hoja no se diligencia se genera de manera automática.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</si>
  <si>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5 Tabla de probabilidad: </t>
    </r>
    <r>
      <rPr>
        <sz val="11"/>
        <color theme="1"/>
        <rFont val="Arial Narrow"/>
        <family val="2"/>
      </rPr>
      <t>Tabla referente para todos los cálculos (no se diligencia)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</si>
  <si>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6 Tabla de Impacto: </t>
    </r>
    <r>
      <rPr>
        <sz val="11"/>
        <color theme="1"/>
        <rFont val="Arial Narrow"/>
        <family val="2"/>
      </rPr>
      <t>Tabla referente para todos los cálculos (no se diligencia)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</si>
  <si>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7 Tabla de Valoración de Controles: </t>
    </r>
    <r>
      <rPr>
        <sz val="11"/>
        <color theme="1"/>
        <rFont val="Arial Narrow"/>
        <family val="2"/>
      </rPr>
      <t>Tabla referente para todos los cálculos (no se diligencia)</t>
    </r>
  </si>
  <si>
    <t xml:space="preserve">Formato Mapa Riesgos </t>
  </si>
  <si>
    <t>Objetivo:</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</si>
  <si>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</si>
  <si>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</si>
  <si>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</si>
  <si>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</si>
  <si>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</si>
  <si>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</si>
  <si>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</si>
  <si>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</si>
  <si>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</si>
  <si>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</si>
  <si>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</si>
  <si>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</si>
  <si>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</si>
  <si>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</si>
  <si>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</si>
  <si>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</si>
  <si>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</si>
  <si>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</si>
  <si>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</si>
  <si>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</si>
  <si>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</si>
  <si>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</si>
  <si>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</si>
  <si>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</si>
  <si>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</si>
  <si>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</si>
  <si>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</si>
  <si>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</si>
  <si>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</si>
  <si>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</si>
  <si>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</si>
  <si>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</si>
  <si>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</si>
  <si>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</si>
  <si>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</si>
  <si>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</si>
  <si>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</si>
  <si>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</si>
  <si>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</si>
  <si>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</si>
  <si>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</si>
  <si>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</si>
  <si>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</si>
  <si>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</si>
  <si>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</si>
  <si>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</si>
  <si>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</si>
  <si>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</si>
  <si>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</si>
  <si>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</si>
  <si>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</si>
  <si>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</si>
  <si>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</si>
  <si>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</si>
  <si>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</si>
  <si>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</si>
  <si>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</si>
  <si>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</si>
  <si>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</si>
  <si>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</si>
  <si>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</si>
  <si>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</si>
  <si>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</si>
  <si>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</si>
  <si>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</si>
  <si>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</si>
  <si>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</si>
  <si>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</si>
  <si>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</si>
  <si>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</si>
  <si>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</si>
  <si>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</si>
  <si>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</si>
  <si>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</si>
  <si>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</si>
  <si>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</si>
  <si>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</si>
  <si>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</si>
  <si>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</si>
  <si>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</si>
  <si>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</si>
  <si>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</si>
  <si>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</si>
  <si>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</si>
  <si>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</si>
  <si>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</si>
  <si>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</si>
  <si>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</si>
  <si>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</si>
  <si>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</si>
  <si>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</si>
  <si>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</si>
  <si>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</si>
  <si>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</si>
  <si>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</si>
  <si>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</si>
  <si>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</si>
  <si>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</si>
  <si>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</si>
  <si>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</si>
  <si>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</si>
  <si>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</si>
  <si>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</si>
  <si>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</si>
  <si>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Preventivo</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</si>
  <si>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</si>
  <si>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</si>
  <si>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</si>
  <si>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</si>
  <si>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</si>
  <si>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</si>
  <si>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</si>
  <si>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Manual</t>
  </si>
  <si>
    <t>Controles que son ejecutados por una persona., tiene implícito el error humano.</t>
  </si>
  <si>
    <r>
      <rPr>
        <b/>
        <sz val="12"/>
        <color rgb="FFE36C09"/>
        <rFont val="Arial Narrow"/>
        <family val="2"/>
      </rPr>
      <t>*</t>
    </r>
    <r>
      <rPr>
        <b/>
        <sz val="12"/>
        <color rgb="FF000000"/>
        <rFont val="Arial Narrow"/>
        <family val="2"/>
      </rPr>
      <t>Atributos de</t>
    </r>
    <r>
      <rPr>
        <b/>
        <sz val="12"/>
        <color rgb="FFE36C09"/>
        <rFont val="Arial Narrow"/>
        <family val="2"/>
      </rPr>
      <t xml:space="preserve"> </t>
    </r>
    <r>
      <rPr>
        <b/>
        <sz val="12"/>
        <color rgb="FF000000"/>
        <rFont val="Arial Narrow"/>
        <family val="2"/>
      </rPr>
      <t>Formalización</t>
    </r>
  </si>
  <si>
    <t>Documentado</t>
  </si>
  <si>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</si>
  <si>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</si>
  <si>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</si>
  <si>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</si>
  <si>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Continua</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</si>
  <si>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</si>
  <si>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</si>
  <si>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</si>
  <si>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Con Registro</t>
  </si>
  <si>
    <t>El control deja un registro que permite evidenciar la ejecución del control</t>
  </si>
  <si>
    <t>Sin Registro</t>
  </si>
  <si>
    <t>El control no deja registro de la ejecución del control</t>
  </si>
  <si>
    <r>
      <rPr>
        <b/>
        <sz val="12"/>
        <color rgb="FFE36C09"/>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</si>
  <si>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</si>
  <si>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</si>
  <si>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</si>
  <si>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Reputacional</t>
  </si>
  <si>
    <t>Reducir (compartir)</t>
  </si>
  <si>
    <t>Económico y Reputacional</t>
  </si>
  <si>
    <t>Reducir (mitigar)</t>
  </si>
  <si>
    <t>Plan de accion (solo para la opción reducir)</t>
  </si>
  <si>
    <t>Finalizado</t>
  </si>
  <si>
    <t>En curso</t>
  </si>
  <si>
    <t>Daños Activos Fisicos</t>
  </si>
  <si>
    <t>Ejecucion y Administracion de procesos</t>
  </si>
  <si>
    <t>Fallas Tecnologicas</t>
  </si>
  <si>
    <t>Fraude Externo</t>
  </si>
  <si>
    <t>Fraude Interno</t>
  </si>
  <si>
    <t>Relaciones Laborales</t>
  </si>
  <si>
    <t>Usuarios, productos y practicas , organizacionales</t>
  </si>
  <si>
    <t>Registro Sustancial</t>
  </si>
  <si>
    <t>Registro Material</t>
  </si>
  <si>
    <t>Sin registro</t>
  </si>
  <si>
    <t>Reducir</t>
  </si>
  <si>
    <t>Proceso/Subproceso:</t>
  </si>
  <si>
    <t>El riesgo afecta la imagen  de la entidad con efecto publicitario sostenido a nivel de sector administrativo, nivel departamental o municipal</t>
  </si>
  <si>
    <t>El riesgo afecta la imagen de la entidad con algunas partes interesadas de relevancia frente al logro de los objetivos</t>
  </si>
  <si>
    <r>
      <rPr>
        <b/>
        <sz val="11"/>
        <color rgb="FFE36C09"/>
        <rFont val="Century Gothic"/>
        <family val="2"/>
      </rPr>
      <t xml:space="preserve">*Nota: </t>
    </r>
    <r>
      <rPr>
        <sz val="11"/>
        <color theme="1"/>
        <rFont val="Century Gothic"/>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</si>
  <si>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FECHA</t>
  </si>
  <si>
    <t>VERSIÓN</t>
  </si>
  <si>
    <t>CÓDIGO</t>
  </si>
  <si>
    <t>PÁGINA</t>
  </si>
  <si>
    <t>MAPA DE RIESGOS DE GESTIÓN</t>
  </si>
  <si>
    <t>PE-F-055</t>
  </si>
  <si>
    <t>de</t>
  </si>
  <si>
    <t>PROCESO PLANEACIÓN ESTRATÉGICA</t>
  </si>
  <si>
    <t>NOMBRE DE FORMATO:</t>
  </si>
  <si>
    <r>
      <t>1.</t>
    </r>
    <r>
      <rPr>
        <b/>
        <sz val="7"/>
        <color theme="1"/>
        <rFont val="Times New Roman"/>
        <family val="1"/>
      </rPr>
      <t xml:space="preserve">    </t>
    </r>
    <r>
      <rPr>
        <b/>
        <sz val="11"/>
        <color theme="1"/>
        <rFont val="Century Gothic"/>
        <family val="2"/>
      </rPr>
      <t>CONTROL DE CAMBIOS</t>
    </r>
  </si>
  <si>
    <t>No. REVISIÓN</t>
  </si>
  <si>
    <t>DESCRIPCIÓN DE LA MODIFICACIÓN</t>
  </si>
  <si>
    <t>FECHA DE APROBACIÓN</t>
  </si>
  <si>
    <t>VERSIÓN ACTUALIZADA</t>
  </si>
  <si>
    <t>Elaborado por:</t>
  </si>
  <si>
    <t>Revisado por:</t>
  </si>
  <si>
    <t>Aprobado por:</t>
  </si>
  <si>
    <t>Maria Alejandra Egas</t>
  </si>
  <si>
    <t>Wilson Alexander Checa</t>
  </si>
  <si>
    <t>Marcela Sofia Peña Tupaz</t>
  </si>
  <si>
    <t>Contratista MIPG</t>
  </si>
  <si>
    <t>Coordinador Contratista MIPG</t>
  </si>
  <si>
    <t>Líder Proceso de Planeación Estrategica</t>
  </si>
  <si>
    <t>Zona de Riesgo Control</t>
  </si>
  <si>
    <t>02</t>
  </si>
  <si>
    <t>INFRAESTRUCTURA</t>
  </si>
  <si>
    <t>Proveer la infraestructura física necesaria y supervisar las obras públicas urbanas y rurales en el municipio a través de las etapas de preparación, ejecución, consolidación de las obras y la gestión de las contribuciones de valorización para su financiación y así satisfacer las necesidades y expectativas de la comunidad.</t>
  </si>
  <si>
    <t>El proceso inicia con la identificación de necesidades de infraestructura en el municipio y la planificación de obras. 
Finaliza con la entrega de las obras terminadas y la evaluación de su impacto. Aplica para el mantenimiento y mejoramiento de las vías, construcción y/o mantenimiento de escenarios culturales y deportivos, la distribución y recaudación de contribuciones por valorización</t>
  </si>
  <si>
    <t>Deficiencias en el seguimiento de los procesos de mantenimiento, mejoramiento y construccion en la etapa posterior a su entrega</t>
  </si>
  <si>
    <t>Quejas y reclamos por parte de la ciudadania, errores en la toma de decisiones, subestimacion de costos y retrasos en el cronograma de ejecución de las obras.</t>
  </si>
  <si>
    <t xml:space="preserve"> </t>
  </si>
  <si>
    <t>El lider del proceso delega la respuesta de las PQRDS a los responsables de cada proyecto, a traves de correo electronico institucional,  revisando la proyeccion de las respuestas, cada que se requiera.</t>
  </si>
  <si>
    <t>Los supervisores de los proyectos, realizaran la implementacion de un sistema de revision de la completitud de cada proyecto a traves del formato IN-F-001 lista de chequeo, a traves de la matriz de seguimiento integral y un plan de supervision que permita analizar en tiempo real el desarrollo de los proyectos y de los contratos, de manera mensual.</t>
  </si>
  <si>
    <t>Deficiente planificacion y seguimiento de las obras y contratos de suministro</t>
  </si>
  <si>
    <t>Posibilidad de afectación economico y reputacional por quejas y reclamos por parte de la ciudadanía, errores en la toma de decisiones, subestimación de costos y retrasos en el cronograma de ejecución de las obras, debido a la deficiente planificacion y seguimiento a obras y contratos de suministro.</t>
  </si>
  <si>
    <t xml:space="preserve">  </t>
  </si>
  <si>
    <t>falta de comunicación entre las dependencias que ejecutan obras, inadecuada supervision de las obras compartidas.</t>
  </si>
  <si>
    <t>Deficiente planificacion y seguimiento de las obras compartidas</t>
  </si>
  <si>
    <t>Posibilidad de afectacion economica y reputacional por falta de comunicación entre las dependencias que ejecutan obras, inadecuada supervision de las obras compartidas debido a una deficiente planificacion y seguimeinto de las obras compartidas.</t>
  </si>
  <si>
    <t>El lider del proceso solicita el reporte de las obras en ejecucion por medio de oficio a todas las dependencias de la administracion municipal de manera mensual, evidencia oficio de envio de solicitud y reporte a contraloria a través de la matriz APPUI de obras en ejecución.</t>
  </si>
  <si>
    <t>El lider del proceso realiza un informe del estado de ejecucion de las obras compartidas con otros procesos, el cual incluye estado del proyecto, personal responsable y recursos invertidos (plan de supervisión) de manera mensual.</t>
  </si>
  <si>
    <t>Deterioro de las obras publicas</t>
  </si>
  <si>
    <t>Posibilidad de afectacion economica y reputacional por deficiencias en el seguimiento de los procesos de mantenimiento, mejoramiento y construccion en la etapa posterior a su entrega ocasionando deterioro de las obras publicas.</t>
  </si>
  <si>
    <t>El supervisor del contrato realiza un seguimiento cada tres meses del estado de las obras ejecutadas, verificando la estabilidad y calidad del contrato, dejando un informe ejecutivo de larevision realizada.</t>
  </si>
  <si>
    <t>Los profesionales universitarios del proceso realizan la verificacion de las obras ejecutadas cada tres meses, en donde se dejará evidencia fotografica del estado de las obras en un informe ejecutivo.</t>
  </si>
  <si>
    <t>Los subsecretarios en coordinacion con el equipo multidisciplinario del proceso, realiza la revision de los proyectos en la etapa precontractual en donde se fortaleceria la planificacion de las obras teniendo en cuenta los estudios y diseños de cada proyecto, dejando como evidencia un informe de la revision realizada, cada que se requiera.</t>
  </si>
  <si>
    <t>Disminución del presupuesto para inversion enobras publicas</t>
  </si>
  <si>
    <t>Incumplimiento en el pago de la contribución de valorización por parte de los contribuyentes beneficiados</t>
  </si>
  <si>
    <t>Posibilidad de afectación económica  por disminución en el presupuesto para inversión en obras publicas debido al incumplimiento de pago en la contribución de valorización por parte de los contribuyentes beneficiados</t>
  </si>
  <si>
    <t xml:space="preserve">Cada vez que se ejecuten obras financiadas el Subsecretario de Valorización con su equipo de trabajo debe verificar el % de pago de los beneficiarios del impuesto de valorización para establecer acciones preventivas ante el no pago. En caso de encontrarse una desviación el Subsecretario deberá controlar el incumplimiento por parte de los beneficiados a través de acciones de Cobro Persuasivo y acciones de Cobro Coactivo de lo cual deja evidencia escrita.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</si>
</sst>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68" x14ac:knownFonts="1">
    <font>
      <sz val="11"/>
      <color theme="1"/>
      <name val="Arial"/>
    </font>
    <font>
      <sz val="11"/>
      <color theme="1"/>
      <name val="Calibri"/>
      <family val="2"/>
    </font>
    <font>
      <b/>
      <sz val="14"/>
      <color theme="1"/>
      <name val="Arial Narrow"/>
      <family val="2"/>
    </font>
    <font>
      <sz val="11"/>
      <name val="Arial"/>
      <family val="2"/>
    </font>
    <font>
      <sz val="10"/>
      <color theme="1"/>
      <name val="Arial Narrow"/>
      <family val="2"/>
    </font>
    <font>
      <b/>
      <u/>
      <sz val="11"/>
      <color theme="1"/>
      <name val="Arial Narrow"/>
      <family val="2"/>
    </font>
    <font>
      <sz val="11"/>
      <color theme="1"/>
      <name val="Arial Narrow"/>
      <family val="2"/>
    </font>
    <font>
      <b/>
      <u/>
      <sz val="11"/>
      <color theme="1"/>
      <name val="Arial Narrow"/>
      <family val="2"/>
    </font>
    <font>
      <b/>
      <sz val="11"/>
      <color theme="1"/>
      <name val="Arial Narrow"/>
      <family val="2"/>
    </font>
    <font>
      <b/>
      <sz val="10"/>
      <color theme="1"/>
      <name val="Arial Narrow"/>
      <family val="2"/>
    </font>
    <font>
      <b/>
      <sz val="9"/>
      <color theme="1"/>
      <name val="Arial Narrow"/>
      <family val="2"/>
    </font>
    <font>
      <sz val="9"/>
      <color theme="1"/>
      <name val="Arial Narrow"/>
      <family val="2"/>
    </font>
    <font>
      <b/>
      <sz val="22"/>
      <color theme="1"/>
      <name val="Arial Narrow"/>
      <family val="2"/>
    </font>
    <font>
      <b/>
      <sz val="18"/>
      <color theme="1"/>
      <name val="Arial Narrow"/>
      <family val="2"/>
    </font>
    <font>
      <b/>
      <sz val="40"/>
      <color rgb="FF000000"/>
      <name val="Calibri"/>
      <family val="2"/>
    </font>
    <font>
      <sz val="28"/>
      <color theme="1"/>
      <name val="Calibri"/>
      <family val="2"/>
    </font>
    <font>
      <b/>
      <sz val="28"/>
      <color rgb="FF000000"/>
      <name val="Calibri"/>
      <family val="2"/>
    </font>
    <font>
      <b/>
      <sz val="36"/>
      <color rgb="FF000000"/>
      <name val="Calibri"/>
      <family val="2"/>
    </font>
    <font>
      <sz val="24"/>
      <color theme="1"/>
      <name val="Arial Narrow"/>
      <family val="2"/>
    </font>
    <font>
      <b/>
      <sz val="20"/>
      <color theme="1"/>
      <name val="Calibri"/>
      <family val="2"/>
    </font>
    <font>
      <b/>
      <sz val="12"/>
      <color rgb="FF000000"/>
      <name val="Calibri"/>
      <family val="2"/>
    </font>
    <font>
      <b/>
      <sz val="24"/>
      <color rgb="FF000000"/>
      <name val="Calibri"/>
      <family val="2"/>
    </font>
    <font>
      <b/>
      <sz val="18"/>
      <color rgb="FF000000"/>
      <name val="Calibri"/>
      <family val="2"/>
    </font>
    <font>
      <sz val="18"/>
      <color theme="1"/>
      <name val="Arial"/>
      <family val="2"/>
    </font>
    <font>
      <b/>
      <sz val="20"/>
      <color rgb="FF000000"/>
      <name val="Arial Narrow"/>
      <family val="2"/>
    </font>
    <font>
      <sz val="20"/>
      <color rgb="FF000000"/>
      <name val="Arial Narrow"/>
      <family val="2"/>
    </font>
    <font>
      <sz val="20"/>
      <color rgb="FFFFFFFF"/>
      <name val="Arial Narrow"/>
      <family val="2"/>
    </font>
    <font>
      <b/>
      <sz val="26"/>
      <color theme="1"/>
      <name val="Arial Narrow"/>
      <family val="2"/>
    </font>
    <font>
      <sz val="24"/>
      <color theme="1"/>
      <name val="Arial"/>
      <family val="2"/>
    </font>
    <font>
      <b/>
      <sz val="24"/>
      <color rgb="FF000000"/>
      <name val="Arial Narrow"/>
      <family val="2"/>
    </font>
    <font>
      <sz val="11"/>
      <color theme="0"/>
      <name val="Calibri"/>
      <family val="2"/>
    </font>
    <font>
      <sz val="26"/>
      <color rgb="FF000000"/>
      <name val="Arial Narrow"/>
      <family val="2"/>
    </font>
    <font>
      <sz val="26"/>
      <color rgb="FFFFFFFF"/>
      <name val="Arial Narrow"/>
      <family val="2"/>
    </font>
    <font>
      <sz val="16"/>
      <color rgb="FF000000"/>
      <name val="Arial Narrow"/>
      <family val="2"/>
    </font>
    <font>
      <sz val="16"/>
      <color rgb="FFFF0000"/>
      <name val="Arial Narrow"/>
      <family val="2"/>
    </font>
    <font>
      <sz val="16"/>
      <color rgb="FFFF0000"/>
      <name val="Calibri"/>
      <family val="2"/>
    </font>
    <font>
      <sz val="11"/>
      <color theme="1"/>
      <name val="Calibri"/>
      <family val="2"/>
    </font>
    <font>
      <sz val="11"/>
      <color rgb="FFFF0000"/>
      <name val="Calibri"/>
      <family val="2"/>
    </font>
    <font>
      <sz val="11"/>
      <color rgb="FF030303"/>
      <name val="Arial"/>
      <family val="2"/>
    </font>
    <font>
      <sz val="10"/>
      <color theme="1"/>
      <name val="Calibri"/>
      <family val="2"/>
    </font>
    <font>
      <b/>
      <sz val="14"/>
      <color rgb="FF000000"/>
      <name val="Arial Narrow"/>
      <family val="2"/>
    </font>
    <font>
      <sz val="12"/>
      <color theme="1"/>
      <name val="Calibri"/>
      <family val="2"/>
    </font>
    <font>
      <b/>
      <sz val="12"/>
      <color rgb="FF000000"/>
      <name val="Arial Narrow"/>
      <family val="2"/>
    </font>
    <font>
      <sz val="12"/>
      <color rgb="FF000000"/>
      <name val="Arial Narrow"/>
      <family val="2"/>
    </font>
    <font>
      <sz val="12"/>
      <color theme="1"/>
      <name val="Arial Narrow"/>
      <family val="2"/>
    </font>
    <font>
      <sz val="10"/>
      <color rgb="FF000000"/>
      <name val="Arial Narrow"/>
      <family val="2"/>
    </font>
    <font>
      <b/>
      <sz val="10"/>
      <color rgb="FFE36C09"/>
      <name val="Arial Narrow"/>
      <family val="2"/>
    </font>
    <font>
      <b/>
      <sz val="11"/>
      <color rgb="FFE36C09"/>
      <name val="Arial Narrow"/>
      <family val="2"/>
    </font>
    <font>
      <b/>
      <sz val="9"/>
      <color rgb="FFE36C09"/>
      <name val="Arial Narrow"/>
      <family val="2"/>
    </font>
    <font>
      <b/>
      <sz val="12"/>
      <color rgb="FFE36C09"/>
      <name val="Arial Narrow"/>
      <family val="2"/>
    </font>
    <font>
      <b/>
      <sz val="11"/>
      <color theme="1"/>
      <name val="Century Gothic"/>
      <family val="2"/>
    </font>
    <font>
      <sz val="11"/>
      <color theme="1"/>
      <name val="Century Gothic"/>
      <family val="2"/>
    </font>
    <font>
      <sz val="11"/>
      <name val="Century Gothic"/>
      <family val="2"/>
    </font>
    <font>
      <b/>
      <sz val="11"/>
      <color rgb="FFE36C09"/>
      <name val="Century Gothic"/>
      <family val="2"/>
    </font>
    <font>
      <b/>
      <sz val="10"/>
      <color theme="1"/>
      <name val="Century Gothic"/>
      <family val="2"/>
    </font>
    <font>
      <sz val="8"/>
      <color theme="1"/>
      <name val="Century Gothic"/>
      <family val="2"/>
    </font>
    <font>
      <b/>
      <sz val="12"/>
      <color theme="1"/>
      <name val="Century Gothic"/>
      <family val="2"/>
    </font>
    <font>
      <b/>
      <sz val="18"/>
      <color theme="1"/>
      <name val="Century Gothic"/>
      <family val="2"/>
    </font>
    <font>
      <sz val="18"/>
      <color theme="1"/>
      <name val="Century Gothic"/>
      <family val="2"/>
    </font>
    <font>
      <sz val="9"/>
      <color theme="1"/>
      <name val="Century Gothic"/>
      <family val="2"/>
    </font>
    <font>
      <sz val="12"/>
      <color theme="1"/>
      <name val="Century Gothic"/>
      <family val="2"/>
    </font>
    <font>
      <b/>
      <sz val="7"/>
      <color theme="1"/>
      <name val="Times New Roman"/>
      <family val="1"/>
    </font>
    <font>
      <sz val="11"/>
      <color theme="1"/>
      <name val="Arial Narrow"/>
    </font>
    <font>
      <b/>
      <sz val="11"/>
      <color theme="1"/>
      <name val="Arial Narrow"/>
    </font>
    <font>
      <sz val="14"/>
      <color theme="1"/>
      <name val="Century Gothic"/>
      <family val="2"/>
    </font>
    <font>
      <sz val="10"/>
      <color theme="1"/>
      <name val="Century Gothic"/>
      <family val="2"/>
    </font>
    <font>
      <sz val="9"/>
      <color indexed="81"/>
      <name val="Tahoma"/>
      <charset val="1"/>
    </font>
    <font>
      <b/>
      <sz val="9"/>
      <color indexed="81"/>
      <name val="Tahoma"/>
      <charset val="1"/>
    </font>
  </fonts>
  <fills count="17">
    <fill>
      <patternFill patternType="none"/>
    </fill>
    <fill>
      <patternFill patternType="gray125"/>
    </fill>
    <fill>
      <patternFill patternType="solid">
        <fgColor theme="0"/>
        <bgColor theme="0"/>
      </patternFill>
    </fill>
    <fill>
      <patternFill patternType="solid">
        <fgColor rgb="FFFABF8F"/>
        <bgColor rgb="FFFABF8F"/>
      </patternFill>
    </fill>
    <fill>
      <patternFill patternType="solid">
        <fgColor rgb="FFFBD4B4"/>
        <bgColor rgb="FFFBD4B4"/>
      </patternFill>
    </fill>
    <fill>
      <patternFill patternType="solid">
        <fgColor rgb="FFFF0000"/>
        <bgColor rgb="FFFF0000"/>
      </patternFill>
    </fill>
    <fill>
      <patternFill patternType="solid">
        <fgColor rgb="FFD9D9D9"/>
        <bgColor rgb="FFD9D9D9"/>
      </patternFill>
    </fill>
    <fill>
      <patternFill patternType="solid">
        <fgColor rgb="FFE26B0A"/>
        <bgColor rgb="FFE26B0A"/>
      </patternFill>
    </fill>
    <fill>
      <patternFill patternType="solid">
        <fgColor rgb="FFC00000"/>
        <bgColor rgb="FFC00000"/>
      </patternFill>
    </fill>
    <fill>
      <patternFill patternType="solid">
        <fgColor rgb="FFFFFF00"/>
        <bgColor rgb="FFFFFF0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DE9D9"/>
        <bgColor rgb="FFFDE9D9"/>
      </patternFill>
    </fill>
    <fill>
      <patternFill patternType="solid">
        <fgColor rgb="FFFFFF00"/>
        <bgColor indexed="64"/>
      </patternFill>
    </fill>
  </fills>
  <borders count="130">
    <border>
      <left/>
      <right/>
      <top/>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diagonal/>
    </border>
    <border>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diagonal/>
    </border>
    <border>
      <left/>
      <right style="medium">
        <color rgb="FF000000"/>
      </right>
      <top/>
      <bottom/>
      <diagonal/>
    </border>
    <border>
      <left style="double">
        <color rgb="FF000000"/>
      </left>
      <right/>
      <top style="double">
        <color rgb="FF000000"/>
      </top>
      <bottom/>
      <diagonal/>
    </border>
    <border>
      <left/>
      <right style="thin">
        <color theme="0"/>
      </right>
      <top style="double">
        <color rgb="FF000000"/>
      </top>
      <bottom/>
      <diagonal/>
    </border>
    <border>
      <left style="thin">
        <color theme="0"/>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right style="double">
        <color rgb="FF000000"/>
      </right>
      <top style="thin">
        <color rgb="FF000000"/>
      </top>
      <bottom style="hair">
        <color rgb="FF000000"/>
      </bottom>
      <diagonal/>
    </border>
    <border>
      <left style="double">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double">
        <color rgb="FF000000"/>
      </right>
      <top style="hair">
        <color rgb="FF000000"/>
      </top>
      <bottom style="hair">
        <color rgb="FF000000"/>
      </bottom>
      <diagonal/>
    </border>
    <border>
      <left style="double">
        <color rgb="FF000000"/>
      </left>
      <right/>
      <top style="hair">
        <color rgb="FF000000"/>
      </top>
      <bottom style="double">
        <color rgb="FF000000"/>
      </bottom>
      <diagonal/>
    </border>
    <border>
      <left/>
      <right style="hair">
        <color rgb="FF000000"/>
      </right>
      <top style="hair">
        <color rgb="FF000000"/>
      </top>
      <bottom style="double">
        <color rgb="FF000000"/>
      </bottom>
      <diagonal/>
    </border>
    <border>
      <left style="hair">
        <color rgb="FF000000"/>
      </left>
      <right/>
      <top style="hair">
        <color rgb="FF000000"/>
      </top>
      <bottom style="double">
        <color rgb="FF000000"/>
      </bottom>
      <diagonal/>
    </border>
    <border>
      <left/>
      <right style="double">
        <color rgb="FF000000"/>
      </right>
      <top style="hair">
        <color rgb="FF000000"/>
      </top>
      <bottom style="double">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top style="medium">
        <color rgb="FF000000"/>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rgb="FF000000"/>
      </left>
      <right/>
      <top/>
      <bottom/>
      <diagonal/>
    </border>
    <border>
      <left/>
      <right style="medium">
        <color rgb="FF000000"/>
      </right>
      <top/>
      <bottom/>
      <diagonal/>
    </border>
    <border>
      <left style="medium">
        <color theme="0"/>
      </left>
      <right/>
      <top/>
      <bottom/>
      <diagonal/>
    </border>
    <border>
      <left/>
      <right style="medium">
        <color theme="0"/>
      </right>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top/>
      <bottom style="medium">
        <color rgb="FF000000"/>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dotted">
        <color rgb="FFF79646"/>
      </left>
      <right style="dotted">
        <color rgb="FFF79646"/>
      </right>
      <top/>
      <bottom style="dotted">
        <color rgb="FFF79646"/>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rgb="FFE36C09"/>
      </left>
      <right style="dotted">
        <color rgb="FFE36C09"/>
      </right>
      <top style="dotted">
        <color rgb="FFE36C09"/>
      </top>
      <bottom/>
      <diagonal/>
    </border>
    <border>
      <left style="dotted">
        <color rgb="FFE36C09"/>
      </left>
      <right style="dotted">
        <color rgb="FFE36C09"/>
      </right>
      <top/>
      <bottom/>
      <diagonal/>
    </border>
    <border>
      <left style="dotted">
        <color rgb="FFE36C09"/>
      </left>
      <right style="dotted">
        <color rgb="FFE36C09"/>
      </right>
      <top/>
      <bottom style="dotted">
        <color rgb="FFE36C09"/>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tted">
        <color rgb="FFE36C09"/>
      </left>
      <right/>
      <top style="dotted">
        <color rgb="FFE36C09"/>
      </top>
      <bottom style="dotted">
        <color rgb="FFE36C09"/>
      </bottom>
      <diagonal/>
    </border>
    <border>
      <left/>
      <right/>
      <top style="dotted">
        <color rgb="FFE36C09"/>
      </top>
      <bottom style="dotted">
        <color rgb="FFE36C09"/>
      </bottom>
      <diagonal/>
    </border>
    <border>
      <left/>
      <right style="dotted">
        <color rgb="FFE36C09"/>
      </right>
      <top style="dotted">
        <color rgb="FFE36C09"/>
      </top>
      <bottom style="dotted">
        <color rgb="FFE36C09"/>
      </bottom>
      <diagonal/>
    </border>
    <border>
      <left style="dotted">
        <color rgb="FFE36C09"/>
      </left>
      <right style="dotted">
        <color rgb="FFE36C09"/>
      </right>
      <top style="dotted">
        <color rgb="FFE36C09"/>
      </top>
      <bottom style="dotted">
        <color rgb="FFE36C09"/>
      </bottom>
      <diagonal/>
    </border>
  </borders>
  <cellStyleXfs count="1">
    <xf numFmtId="0" fontId="0" fillId="0" borderId="0"/>
  </cellStyleXfs>
  <cellXfs count="335">
    <xf numFmtId="0" fontId="0" fillId="0" borderId="0" xfId="0"/>
    <xf numFmtId="0" fontId="1" fillId="2" borderId="1" xfId="0" applyFont="1" applyFill="1" applyBorder="1"/>
    <xf numFmtId="0" fontId="4" fillId="2" borderId="5" xfId="0" applyFont="1" applyFill="1" applyBorder="1"/>
    <xf numFmtId="0" fontId="4" fillId="2" borderId="6" xfId="0" applyFont="1" applyFill="1" applyBorder="1"/>
    <xf numFmtId="0" fontId="4" fillId="2" borderId="7" xfId="0" applyFont="1" applyFill="1" applyBorder="1"/>
    <xf numFmtId="0" fontId="7" fillId="2" borderId="19"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2" borderId="20" xfId="0" applyFont="1" applyFill="1" applyBorder="1" applyAlignment="1">
      <alignment horizontal="left" vertical="top" wrapText="1"/>
    </xf>
    <xf numFmtId="0" fontId="4" fillId="2" borderId="19" xfId="0" applyFont="1" applyFill="1" applyBorder="1"/>
    <xf numFmtId="0" fontId="4" fillId="2" borderId="1" xfId="0" applyFont="1" applyFill="1" applyBorder="1"/>
    <xf numFmtId="0" fontId="9"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20" xfId="0" applyFont="1" applyFill="1" applyBorder="1"/>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top" wrapText="1"/>
    </xf>
    <xf numFmtId="0" fontId="20" fillId="7" borderId="75" xfId="0" applyFont="1" applyFill="1" applyBorder="1" applyAlignment="1">
      <alignment horizontal="center" vertical="center" wrapText="1" readingOrder="1"/>
    </xf>
    <xf numFmtId="0" fontId="20" fillId="7" borderId="76" xfId="0" applyFont="1" applyFill="1" applyBorder="1" applyAlignment="1">
      <alignment horizontal="center" vertical="center" wrapText="1" readingOrder="1"/>
    </xf>
    <xf numFmtId="0" fontId="20" fillId="7" borderId="77" xfId="0" applyFont="1" applyFill="1" applyBorder="1" applyAlignment="1">
      <alignment horizontal="center" vertical="center" wrapText="1" readingOrder="1"/>
    </xf>
    <xf numFmtId="0" fontId="20" fillId="8" borderId="75" xfId="0" applyFont="1" applyFill="1" applyBorder="1" applyAlignment="1">
      <alignment horizontal="center" wrapText="1" readingOrder="1"/>
    </xf>
    <xf numFmtId="0" fontId="20" fillId="8" borderId="76" xfId="0" applyFont="1" applyFill="1" applyBorder="1" applyAlignment="1">
      <alignment horizontal="center" wrapText="1" readingOrder="1"/>
    </xf>
    <xf numFmtId="0" fontId="20" fillId="8" borderId="77" xfId="0" applyFont="1" applyFill="1" applyBorder="1" applyAlignment="1">
      <alignment horizontal="center" wrapText="1" readingOrder="1"/>
    </xf>
    <xf numFmtId="0" fontId="20" fillId="7" borderId="19" xfId="0" applyFont="1" applyFill="1" applyBorder="1" applyAlignment="1">
      <alignment horizontal="center" vertical="center" wrapText="1" readingOrder="1"/>
    </xf>
    <xf numFmtId="0" fontId="20" fillId="7" borderId="1" xfId="0" applyFont="1" applyFill="1" applyBorder="1" applyAlignment="1">
      <alignment horizontal="center" vertical="center" wrapText="1" readingOrder="1"/>
    </xf>
    <xf numFmtId="0" fontId="20" fillId="7" borderId="20" xfId="0" applyFont="1" applyFill="1" applyBorder="1" applyAlignment="1">
      <alignment horizontal="center" vertical="center" wrapText="1" readingOrder="1"/>
    </xf>
    <xf numFmtId="0" fontId="20" fillId="8" borderId="19" xfId="0" applyFont="1" applyFill="1" applyBorder="1" applyAlignment="1">
      <alignment horizontal="center" wrapText="1" readingOrder="1"/>
    </xf>
    <xf numFmtId="0" fontId="20" fillId="8" borderId="1" xfId="0" applyFont="1" applyFill="1" applyBorder="1" applyAlignment="1">
      <alignment horizontal="center" wrapText="1" readingOrder="1"/>
    </xf>
    <xf numFmtId="0" fontId="20" fillId="8" borderId="20" xfId="0" applyFont="1" applyFill="1" applyBorder="1" applyAlignment="1">
      <alignment horizontal="center" wrapText="1" readingOrder="1"/>
    </xf>
    <xf numFmtId="0" fontId="20" fillId="7" borderId="40" xfId="0" applyFont="1" applyFill="1" applyBorder="1" applyAlignment="1">
      <alignment horizontal="center" vertical="center" wrapText="1" readingOrder="1"/>
    </xf>
    <xf numFmtId="0" fontId="20" fillId="7" borderId="41" xfId="0" applyFont="1" applyFill="1" applyBorder="1" applyAlignment="1">
      <alignment horizontal="center" vertical="center" wrapText="1" readingOrder="1"/>
    </xf>
    <xf numFmtId="0" fontId="20" fillId="7" borderId="42" xfId="0" applyFont="1" applyFill="1" applyBorder="1" applyAlignment="1">
      <alignment horizontal="center" vertical="center" wrapText="1" readingOrder="1"/>
    </xf>
    <xf numFmtId="0" fontId="20" fillId="8" borderId="40" xfId="0" applyFont="1" applyFill="1" applyBorder="1" applyAlignment="1">
      <alignment horizontal="center" wrapText="1" readingOrder="1"/>
    </xf>
    <xf numFmtId="0" fontId="20" fillId="8" borderId="41" xfId="0" applyFont="1" applyFill="1" applyBorder="1" applyAlignment="1">
      <alignment horizontal="center" wrapText="1" readingOrder="1"/>
    </xf>
    <xf numFmtId="0" fontId="20" fillId="8" borderId="42" xfId="0" applyFont="1" applyFill="1" applyBorder="1" applyAlignment="1">
      <alignment horizontal="center" wrapText="1" readingOrder="1"/>
    </xf>
    <xf numFmtId="0" fontId="20" fillId="9" borderId="75" xfId="0" applyFont="1" applyFill="1" applyBorder="1" applyAlignment="1">
      <alignment horizontal="center" wrapText="1" readingOrder="1"/>
    </xf>
    <xf numFmtId="0" fontId="20" fillId="9" borderId="76" xfId="0" applyFont="1" applyFill="1" applyBorder="1" applyAlignment="1">
      <alignment horizontal="center" wrapText="1" readingOrder="1"/>
    </xf>
    <xf numFmtId="0" fontId="20" fillId="9" borderId="77" xfId="0" applyFont="1" applyFill="1" applyBorder="1" applyAlignment="1">
      <alignment horizontal="center" wrapText="1" readingOrder="1"/>
    </xf>
    <xf numFmtId="0" fontId="20" fillId="9" borderId="19" xfId="0" applyFont="1" applyFill="1" applyBorder="1" applyAlignment="1">
      <alignment horizontal="center" wrapText="1" readingOrder="1"/>
    </xf>
    <xf numFmtId="0" fontId="20" fillId="9" borderId="1" xfId="0" applyFont="1" applyFill="1" applyBorder="1" applyAlignment="1">
      <alignment horizontal="center" wrapText="1" readingOrder="1"/>
    </xf>
    <xf numFmtId="0" fontId="20" fillId="9" borderId="20" xfId="0" applyFont="1" applyFill="1" applyBorder="1" applyAlignment="1">
      <alignment horizontal="center" wrapText="1" readingOrder="1"/>
    </xf>
    <xf numFmtId="0" fontId="20" fillId="9" borderId="40" xfId="0" applyFont="1" applyFill="1" applyBorder="1" applyAlignment="1">
      <alignment horizontal="center" wrapText="1" readingOrder="1"/>
    </xf>
    <xf numFmtId="0" fontId="20" fillId="9" borderId="41" xfId="0" applyFont="1" applyFill="1" applyBorder="1" applyAlignment="1">
      <alignment horizontal="center" wrapText="1" readingOrder="1"/>
    </xf>
    <xf numFmtId="0" fontId="20" fillId="9" borderId="42" xfId="0" applyFont="1" applyFill="1" applyBorder="1" applyAlignment="1">
      <alignment horizontal="center" wrapText="1" readingOrder="1"/>
    </xf>
    <xf numFmtId="0" fontId="20" fillId="10" borderId="75" xfId="0" applyFont="1" applyFill="1" applyBorder="1" applyAlignment="1">
      <alignment horizontal="center" wrapText="1" readingOrder="1"/>
    </xf>
    <xf numFmtId="0" fontId="20" fillId="10" borderId="76" xfId="0" applyFont="1" applyFill="1" applyBorder="1" applyAlignment="1">
      <alignment horizontal="center" wrapText="1" readingOrder="1"/>
    </xf>
    <xf numFmtId="0" fontId="20" fillId="10" borderId="77" xfId="0" applyFont="1" applyFill="1" applyBorder="1" applyAlignment="1">
      <alignment horizontal="center" wrapText="1" readingOrder="1"/>
    </xf>
    <xf numFmtId="0" fontId="20" fillId="10" borderId="19" xfId="0" applyFont="1" applyFill="1" applyBorder="1" applyAlignment="1">
      <alignment horizontal="center" wrapText="1" readingOrder="1"/>
    </xf>
    <xf numFmtId="0" fontId="20" fillId="10" borderId="1" xfId="0" applyFont="1" applyFill="1" applyBorder="1" applyAlignment="1">
      <alignment horizontal="center" wrapText="1" readingOrder="1"/>
    </xf>
    <xf numFmtId="0" fontId="20" fillId="10" borderId="20" xfId="0" applyFont="1" applyFill="1" applyBorder="1" applyAlignment="1">
      <alignment horizontal="center" wrapText="1" readingOrder="1"/>
    </xf>
    <xf numFmtId="0" fontId="20" fillId="10" borderId="40" xfId="0" applyFont="1" applyFill="1" applyBorder="1" applyAlignment="1">
      <alignment horizontal="center" wrapText="1" readingOrder="1"/>
    </xf>
    <xf numFmtId="0" fontId="20" fillId="10" borderId="41" xfId="0" applyFont="1" applyFill="1" applyBorder="1" applyAlignment="1">
      <alignment horizontal="center" wrapText="1" readingOrder="1"/>
    </xf>
    <xf numFmtId="0" fontId="20" fillId="10" borderId="42" xfId="0" applyFont="1" applyFill="1" applyBorder="1" applyAlignment="1">
      <alignment horizontal="center" wrapText="1" readingOrder="1"/>
    </xf>
    <xf numFmtId="0" fontId="22" fillId="9" borderId="76" xfId="0" applyFont="1" applyFill="1" applyBorder="1" applyAlignment="1">
      <alignment horizontal="center" wrapText="1" readingOrder="1"/>
    </xf>
    <xf numFmtId="0" fontId="23" fillId="0" borderId="0" xfId="0" applyFont="1" applyAlignment="1">
      <alignment horizontal="center" vertical="center" wrapText="1"/>
    </xf>
    <xf numFmtId="0" fontId="24" fillId="11" borderId="1" xfId="0" applyFont="1" applyFill="1" applyBorder="1" applyAlignment="1">
      <alignment horizontal="center" vertical="center" wrapText="1" readingOrder="1"/>
    </xf>
    <xf numFmtId="0" fontId="25" fillId="10" borderId="78" xfId="0" applyFont="1" applyFill="1" applyBorder="1" applyAlignment="1">
      <alignment horizontal="center" vertical="center" wrapText="1" readingOrder="1"/>
    </xf>
    <xf numFmtId="0" fontId="25" fillId="0" borderId="79" xfId="0" applyFont="1" applyBorder="1" applyAlignment="1">
      <alignment horizontal="left" vertical="center" wrapText="1" readingOrder="1"/>
    </xf>
    <xf numFmtId="9" fontId="25" fillId="0" borderId="79" xfId="0" applyNumberFormat="1" applyFont="1" applyBorder="1" applyAlignment="1">
      <alignment horizontal="center" vertical="center" wrapText="1" readingOrder="1"/>
    </xf>
    <xf numFmtId="0" fontId="25" fillId="12" borderId="80" xfId="0" applyFont="1" applyFill="1" applyBorder="1" applyAlignment="1">
      <alignment horizontal="center" vertical="center" wrapText="1" readingOrder="1"/>
    </xf>
    <xf numFmtId="0" fontId="25" fillId="0" borderId="80" xfId="0" applyFont="1" applyBorder="1" applyAlignment="1">
      <alignment horizontal="left" vertical="center" wrapText="1" readingOrder="1"/>
    </xf>
    <xf numFmtId="9" fontId="25" fillId="0" borderId="80" xfId="0" applyNumberFormat="1" applyFont="1" applyBorder="1" applyAlignment="1">
      <alignment horizontal="center" vertical="center" wrapText="1" readingOrder="1"/>
    </xf>
    <xf numFmtId="0" fontId="25" fillId="13" borderId="80" xfId="0" applyFont="1" applyFill="1" applyBorder="1" applyAlignment="1">
      <alignment horizontal="center" vertical="center" wrapText="1" readingOrder="1"/>
    </xf>
    <xf numFmtId="0" fontId="25" fillId="14" borderId="80" xfId="0" applyFont="1" applyFill="1" applyBorder="1" applyAlignment="1">
      <alignment horizontal="center" vertical="center" wrapText="1" readingOrder="1"/>
    </xf>
    <xf numFmtId="0" fontId="26" fillId="5" borderId="80" xfId="0" applyFont="1" applyFill="1" applyBorder="1" applyAlignment="1">
      <alignment horizontal="center" vertical="center" wrapText="1" readingOrder="1"/>
    </xf>
    <xf numFmtId="0" fontId="28" fillId="2" borderId="1" xfId="0" applyFont="1" applyFill="1" applyBorder="1" applyAlignment="1">
      <alignment horizontal="center" vertical="center" wrapText="1"/>
    </xf>
    <xf numFmtId="0" fontId="29" fillId="11" borderId="1" xfId="0" applyFont="1" applyFill="1" applyBorder="1" applyAlignment="1">
      <alignment horizontal="center" vertical="center" wrapText="1" readingOrder="1"/>
    </xf>
    <xf numFmtId="0" fontId="30" fillId="2" borderId="1" xfId="0" applyFont="1" applyFill="1" applyBorder="1"/>
    <xf numFmtId="0" fontId="31" fillId="10" borderId="78" xfId="0" applyFont="1" applyFill="1" applyBorder="1" applyAlignment="1">
      <alignment horizontal="center" vertical="center" wrapText="1" readingOrder="1"/>
    </xf>
    <xf numFmtId="0" fontId="31" fillId="0" borderId="79" xfId="0" applyFont="1" applyBorder="1" applyAlignment="1">
      <alignment horizontal="center" vertical="center" wrapText="1" readingOrder="1"/>
    </xf>
    <xf numFmtId="0" fontId="31" fillId="0" borderId="79" xfId="0" applyFont="1" applyBorder="1" applyAlignment="1">
      <alignment horizontal="left" vertical="center" wrapText="1" readingOrder="1"/>
    </xf>
    <xf numFmtId="0" fontId="31" fillId="12" borderId="80" xfId="0" applyFont="1" applyFill="1" applyBorder="1" applyAlignment="1">
      <alignment horizontal="center" vertical="center" wrapText="1" readingOrder="1"/>
    </xf>
    <xf numFmtId="0" fontId="31" fillId="0" borderId="80" xfId="0" applyFont="1" applyBorder="1" applyAlignment="1">
      <alignment horizontal="center" vertical="center" wrapText="1" readingOrder="1"/>
    </xf>
    <xf numFmtId="0" fontId="31" fillId="0" borderId="80" xfId="0" applyFont="1" applyBorder="1" applyAlignment="1">
      <alignment horizontal="left" vertical="center" wrapText="1" readingOrder="1"/>
    </xf>
    <xf numFmtId="0" fontId="31" fillId="13" borderId="80" xfId="0" applyFont="1" applyFill="1" applyBorder="1" applyAlignment="1">
      <alignment horizontal="center" vertical="center" wrapText="1" readingOrder="1"/>
    </xf>
    <xf numFmtId="0" fontId="31" fillId="14" borderId="80" xfId="0" applyFont="1" applyFill="1" applyBorder="1" applyAlignment="1">
      <alignment horizontal="center" vertical="center" wrapText="1" readingOrder="1"/>
    </xf>
    <xf numFmtId="0" fontId="32" fillId="5" borderId="80" xfId="0" applyFont="1" applyFill="1" applyBorder="1" applyAlignment="1">
      <alignment horizontal="center" vertical="center" wrapText="1" readingOrder="1"/>
    </xf>
    <xf numFmtId="0" fontId="33" fillId="2" borderId="1" xfId="0" applyFont="1" applyFill="1" applyBorder="1" applyAlignment="1">
      <alignment horizontal="left" vertical="center" wrapText="1" readingOrder="1"/>
    </xf>
    <xf numFmtId="0" fontId="8" fillId="2" borderId="1" xfId="0" applyFont="1" applyFill="1" applyBorder="1" applyAlignment="1">
      <alignment vertical="center"/>
    </xf>
    <xf numFmtId="0" fontId="34" fillId="0" borderId="0" xfId="0" applyFont="1" applyAlignment="1">
      <alignment vertical="center"/>
    </xf>
    <xf numFmtId="0" fontId="1" fillId="0" borderId="0" xfId="0" applyFont="1"/>
    <xf numFmtId="0" fontId="35" fillId="0" borderId="0" xfId="0" applyFont="1"/>
    <xf numFmtId="0" fontId="36" fillId="0" borderId="0" xfId="0" applyFont="1"/>
    <xf numFmtId="0" fontId="37" fillId="0" borderId="0" xfId="0" applyFont="1"/>
    <xf numFmtId="0" fontId="38" fillId="0" borderId="0" xfId="0" applyFont="1"/>
    <xf numFmtId="0" fontId="41" fillId="2" borderId="1" xfId="0" applyFont="1" applyFill="1" applyBorder="1"/>
    <xf numFmtId="0" fontId="42" fillId="15" borderId="85" xfId="0" applyFont="1" applyFill="1" applyBorder="1" applyAlignment="1">
      <alignment horizontal="center" vertical="center" wrapText="1" readingOrder="1"/>
    </xf>
    <xf numFmtId="0" fontId="42" fillId="15" borderId="86" xfId="0" applyFont="1" applyFill="1" applyBorder="1" applyAlignment="1">
      <alignment horizontal="center" vertical="center" wrapText="1" readingOrder="1"/>
    </xf>
    <xf numFmtId="0" fontId="42" fillId="2" borderId="89" xfId="0" applyFont="1" applyFill="1" applyBorder="1" applyAlignment="1">
      <alignment horizontal="center" vertical="center" wrapText="1" readingOrder="1"/>
    </xf>
    <xf numFmtId="0" fontId="43" fillId="2" borderId="89" xfId="0" applyFont="1" applyFill="1" applyBorder="1" applyAlignment="1">
      <alignment horizontal="left" vertical="center" wrapText="1" readingOrder="1"/>
    </xf>
    <xf numFmtId="9" fontId="42" fillId="2" borderId="90" xfId="0" applyNumberFormat="1" applyFont="1" applyFill="1" applyBorder="1" applyAlignment="1">
      <alignment horizontal="center" vertical="center" wrapText="1" readingOrder="1"/>
    </xf>
    <xf numFmtId="0" fontId="42" fillId="2" borderId="93" xfId="0" applyFont="1" applyFill="1" applyBorder="1" applyAlignment="1">
      <alignment horizontal="center" vertical="center" wrapText="1" readingOrder="1"/>
    </xf>
    <xf numFmtId="0" fontId="43" fillId="2" borderId="93" xfId="0" applyFont="1" applyFill="1" applyBorder="1" applyAlignment="1">
      <alignment horizontal="left" vertical="center" wrapText="1" readingOrder="1"/>
    </xf>
    <xf numFmtId="9" fontId="42" fillId="2" borderId="94" xfId="0" applyNumberFormat="1" applyFont="1" applyFill="1" applyBorder="1" applyAlignment="1">
      <alignment horizontal="center" vertical="center" wrapText="1" readingOrder="1"/>
    </xf>
    <xf numFmtId="0" fontId="43" fillId="2" borderId="94" xfId="0" applyFont="1" applyFill="1" applyBorder="1" applyAlignment="1">
      <alignment horizontal="center" vertical="center" wrapText="1" readingOrder="1"/>
    </xf>
    <xf numFmtId="0" fontId="42" fillId="2" borderId="101" xfId="0" applyFont="1" applyFill="1" applyBorder="1" applyAlignment="1">
      <alignment horizontal="center" vertical="center" wrapText="1" readingOrder="1"/>
    </xf>
    <xf numFmtId="0" fontId="43" fillId="2" borderId="101" xfId="0" applyFont="1" applyFill="1" applyBorder="1" applyAlignment="1">
      <alignment horizontal="left" vertical="center" wrapText="1" readingOrder="1"/>
    </xf>
    <xf numFmtId="0" fontId="43" fillId="2" borderId="102" xfId="0" applyFont="1" applyFill="1" applyBorder="1" applyAlignment="1">
      <alignment horizontal="center" vertical="center" wrapText="1" readingOrder="1"/>
    </xf>
    <xf numFmtId="0" fontId="39" fillId="0" borderId="0" xfId="0" applyFont="1"/>
    <xf numFmtId="0" fontId="45" fillId="0" borderId="80" xfId="0" applyFont="1" applyBorder="1" applyAlignment="1">
      <alignment horizontal="left" vertical="center" wrapText="1" readingOrder="1"/>
    </xf>
    <xf numFmtId="0" fontId="31" fillId="16" borderId="80" xfId="0" applyFont="1" applyFill="1" applyBorder="1" applyAlignment="1">
      <alignment horizontal="center" vertical="center" wrapText="1" readingOrder="1"/>
    </xf>
    <xf numFmtId="0" fontId="31" fillId="16" borderId="80" xfId="0" applyFont="1" applyFill="1" applyBorder="1" applyAlignment="1">
      <alignment horizontal="left" vertical="center" wrapText="1" readingOrder="1"/>
    </xf>
    <xf numFmtId="0" fontId="59" fillId="0" borderId="0" xfId="0" applyFont="1"/>
    <xf numFmtId="0" fontId="54" fillId="0" borderId="0" xfId="0" applyFont="1" applyAlignment="1">
      <alignment horizontal="left" vertical="center" indent="5"/>
    </xf>
    <xf numFmtId="0" fontId="51" fillId="0" borderId="0" xfId="0" applyFont="1" applyAlignment="1">
      <alignment vertical="center"/>
    </xf>
    <xf numFmtId="0" fontId="51" fillId="0" borderId="0" xfId="0" applyFont="1" applyAlignment="1" applyProtection="1">
      <alignment horizontal="center" vertical="center"/>
      <protection locked="0"/>
    </xf>
    <xf numFmtId="0" fontId="51" fillId="2" borderId="1" xfId="0" applyFont="1" applyFill="1" applyBorder="1" applyAlignment="1" applyProtection="1">
      <alignment horizontal="center" vertical="center"/>
      <protection locked="0"/>
    </xf>
    <xf numFmtId="0" fontId="51" fillId="2" borderId="52" xfId="0" applyFont="1" applyFill="1" applyBorder="1" applyAlignment="1" applyProtection="1">
      <alignment horizontal="center" vertical="center"/>
      <protection locked="0"/>
    </xf>
    <xf numFmtId="0" fontId="51" fillId="0" borderId="103" xfId="0" applyFont="1" applyBorder="1" applyAlignment="1" applyProtection="1">
      <alignment horizontal="center" vertical="center"/>
      <protection locked="0"/>
    </xf>
    <xf numFmtId="0" fontId="51" fillId="0" borderId="103" xfId="0" applyFont="1" applyBorder="1" applyAlignment="1" applyProtection="1">
      <alignment horizontal="center" vertical="center" wrapText="1"/>
      <protection locked="0"/>
    </xf>
    <xf numFmtId="0" fontId="51" fillId="0" borderId="103" xfId="0" applyFont="1" applyBorder="1" applyAlignment="1" applyProtection="1">
      <alignment horizontal="center" vertical="center" textRotation="90"/>
      <protection locked="0"/>
    </xf>
    <xf numFmtId="14" fontId="51" fillId="0" borderId="103" xfId="0" applyNumberFormat="1" applyFont="1" applyBorder="1" applyAlignment="1" applyProtection="1">
      <alignment horizontal="center" vertical="center"/>
      <protection locked="0"/>
    </xf>
    <xf numFmtId="0" fontId="51" fillId="0" borderId="103" xfId="0" applyFont="1" applyBorder="1" applyAlignment="1">
      <alignment horizontal="center" vertical="center"/>
    </xf>
    <xf numFmtId="9" fontId="51" fillId="0" borderId="103" xfId="0" applyNumberFormat="1" applyFont="1" applyBorder="1" applyAlignment="1">
      <alignment horizontal="center" vertical="center"/>
    </xf>
    <xf numFmtId="164" fontId="51" fillId="0" borderId="103" xfId="0" applyNumberFormat="1" applyFont="1" applyBorder="1" applyAlignment="1">
      <alignment horizontal="center" vertical="center"/>
    </xf>
    <xf numFmtId="0" fontId="50" fillId="0" borderId="103" xfId="0" applyFont="1" applyBorder="1" applyAlignment="1">
      <alignment horizontal="center" vertical="center" textRotation="90" wrapText="1"/>
    </xf>
    <xf numFmtId="0" fontId="50" fillId="0" borderId="103" xfId="0" applyFont="1" applyBorder="1" applyAlignment="1">
      <alignment horizontal="center" vertical="center" textRotation="90"/>
    </xf>
    <xf numFmtId="0" fontId="52" fillId="0" borderId="103" xfId="0" applyFont="1" applyBorder="1" applyAlignment="1" applyProtection="1">
      <alignment horizontal="center" vertical="center"/>
      <protection locked="0"/>
    </xf>
    <xf numFmtId="0" fontId="62" fillId="2" borderId="52" xfId="0" applyFont="1" applyFill="1" applyBorder="1"/>
    <xf numFmtId="0" fontId="62" fillId="0" borderId="0" xfId="0" applyFont="1"/>
    <xf numFmtId="0" fontId="51" fillId="0" borderId="0" xfId="0" applyFont="1" applyAlignment="1">
      <alignment horizontal="center" vertical="center"/>
    </xf>
    <xf numFmtId="0" fontId="50" fillId="4" borderId="103" xfId="0" applyFont="1" applyFill="1" applyBorder="1" applyAlignment="1">
      <alignment horizontal="center" vertical="center" textRotation="90"/>
    </xf>
    <xf numFmtId="0" fontId="50" fillId="0" borderId="0" xfId="0" applyFont="1" applyAlignment="1" applyProtection="1">
      <alignment horizontal="left" vertical="center"/>
      <protection locked="0"/>
    </xf>
    <xf numFmtId="0" fontId="63" fillId="0" borderId="121" xfId="0" applyFont="1" applyBorder="1" applyAlignment="1" applyProtection="1">
      <alignment horizontal="center" vertical="center" textRotation="90"/>
      <protection locked="0"/>
    </xf>
    <xf numFmtId="0" fontId="51" fillId="0" borderId="124" xfId="0" applyFont="1" applyBorder="1" applyAlignment="1" applyProtection="1">
      <alignment horizontal="center" vertical="center"/>
      <protection locked="0"/>
    </xf>
    <xf numFmtId="0" fontId="63" fillId="0" borderId="121" xfId="0" applyFont="1" applyBorder="1" applyAlignment="1">
      <alignment horizontal="center" vertical="center" textRotation="90"/>
    </xf>
    <xf numFmtId="0" fontId="51" fillId="0" borderId="123" xfId="0" applyFont="1" applyBorder="1" applyAlignment="1" applyProtection="1">
      <alignment vertical="center" wrapText="1"/>
      <protection locked="0"/>
    </xf>
    <xf numFmtId="9" fontId="51" fillId="0" borderId="123" xfId="0" applyNumberFormat="1" applyFont="1" applyBorder="1" applyAlignment="1" applyProtection="1">
      <alignment vertical="center" wrapText="1"/>
      <protection locked="0"/>
    </xf>
    <xf numFmtId="9" fontId="51" fillId="0" borderId="123" xfId="0" applyNumberFormat="1" applyFont="1" applyBorder="1" applyAlignment="1">
      <alignment vertical="center" wrapText="1"/>
    </xf>
    <xf numFmtId="0" fontId="50" fillId="0" borderId="123" xfId="0" applyFont="1" applyBorder="1" applyAlignment="1">
      <alignment vertical="center" wrapText="1"/>
    </xf>
    <xf numFmtId="0" fontId="50" fillId="0" borderId="123" xfId="0" applyFont="1" applyBorder="1" applyAlignment="1">
      <alignment vertical="center"/>
    </xf>
    <xf numFmtId="0" fontId="51" fillId="0" borderId="123" xfId="0" applyFont="1" applyBorder="1" applyAlignment="1" applyProtection="1">
      <alignment vertical="center"/>
      <protection locked="0"/>
    </xf>
    <xf numFmtId="0" fontId="65" fillId="0" borderId="129" xfId="0" applyFont="1" applyBorder="1" applyAlignment="1" applyProtection="1">
      <alignment horizontal="left" vertical="center" wrapText="1"/>
      <protection locked="0"/>
    </xf>
    <xf numFmtId="0" fontId="51" fillId="0" borderId="129" xfId="0" applyFont="1" applyBorder="1" applyAlignment="1" applyProtection="1">
      <alignment horizontal="center" vertical="center" textRotation="90"/>
      <protection locked="0"/>
    </xf>
    <xf numFmtId="0" fontId="51" fillId="0" borderId="0" xfId="0" applyFont="1" applyAlignment="1" applyProtection="1">
      <alignment horizontal="left" vertical="center" wrapText="1"/>
      <protection locked="0"/>
    </xf>
    <xf numFmtId="0" fontId="51" fillId="0" borderId="0" xfId="0" applyFont="1" applyAlignment="1" applyProtection="1">
      <alignment horizontal="center" vertical="center" wrapText="1"/>
      <protection locked="0"/>
    </xf>
    <xf numFmtId="0" fontId="51" fillId="0" borderId="123" xfId="0" applyFont="1" applyBorder="1" applyAlignment="1" applyProtection="1">
      <alignment horizontal="center" vertical="center" textRotation="90"/>
      <protection locked="0"/>
    </xf>
    <xf numFmtId="0" fontId="51" fillId="0" borderId="125" xfId="0" applyFont="1" applyBorder="1" applyAlignment="1" applyProtection="1">
      <alignment horizontal="center" vertical="center" textRotation="90"/>
      <protection locked="0"/>
    </xf>
    <xf numFmtId="0" fontId="51" fillId="0" borderId="124" xfId="0" applyFont="1" applyBorder="1" applyAlignment="1" applyProtection="1">
      <alignment horizontal="center" vertical="center" textRotation="90"/>
      <protection locked="0"/>
    </xf>
    <xf numFmtId="0" fontId="51" fillId="0" borderId="107" xfId="0" applyFont="1" applyBorder="1" applyAlignment="1">
      <alignment horizontal="center" vertical="center"/>
    </xf>
    <xf numFmtId="0" fontId="51" fillId="0" borderId="106" xfId="0" applyFont="1" applyBorder="1" applyAlignment="1">
      <alignment horizontal="center" vertical="center"/>
    </xf>
    <xf numFmtId="0" fontId="51" fillId="0" borderId="108" xfId="0" applyFont="1" applyBorder="1" applyAlignment="1">
      <alignment horizontal="center" vertical="center"/>
    </xf>
    <xf numFmtId="0" fontId="51" fillId="0" borderId="112" xfId="0" applyFont="1" applyBorder="1" applyAlignment="1">
      <alignment horizontal="center" vertical="center"/>
    </xf>
    <xf numFmtId="0" fontId="51" fillId="0" borderId="52" xfId="0" applyFont="1" applyBorder="1" applyAlignment="1">
      <alignment horizontal="center" vertical="center"/>
    </xf>
    <xf numFmtId="0" fontId="51" fillId="0" borderId="113" xfId="0" applyFont="1" applyBorder="1" applyAlignment="1">
      <alignment horizontal="center" vertical="center"/>
    </xf>
    <xf numFmtId="0" fontId="51" fillId="0" borderId="109" xfId="0" applyFont="1" applyBorder="1" applyAlignment="1">
      <alignment horizontal="center" vertical="center"/>
    </xf>
    <xf numFmtId="0" fontId="51" fillId="0" borderId="110" xfId="0" applyFont="1" applyBorder="1" applyAlignment="1">
      <alignment horizontal="center" vertical="center"/>
    </xf>
    <xf numFmtId="0" fontId="51" fillId="0" borderId="111" xfId="0" applyFont="1" applyBorder="1" applyAlignment="1">
      <alignment horizontal="center" vertical="center"/>
    </xf>
    <xf numFmtId="0" fontId="57" fillId="0" borderId="104" xfId="0" applyFont="1" applyBorder="1" applyAlignment="1">
      <alignment horizontal="center" vertical="center"/>
    </xf>
    <xf numFmtId="0" fontId="57" fillId="0" borderId="105" xfId="0" applyFont="1" applyBorder="1" applyAlignment="1">
      <alignment horizontal="center" vertical="center"/>
    </xf>
    <xf numFmtId="0" fontId="58" fillId="0" borderId="106" xfId="0" applyFont="1" applyBorder="1" applyAlignment="1">
      <alignment horizontal="left" vertical="center"/>
    </xf>
    <xf numFmtId="0" fontId="58" fillId="0" borderId="108" xfId="0" applyFont="1" applyBorder="1" applyAlignment="1">
      <alignment horizontal="left" vertical="center"/>
    </xf>
    <xf numFmtId="0" fontId="57" fillId="0" borderId="110" xfId="0" applyFont="1" applyBorder="1" applyAlignment="1">
      <alignment horizontal="center" vertical="center"/>
    </xf>
    <xf numFmtId="0" fontId="57" fillId="0" borderId="52" xfId="0" applyFont="1" applyBorder="1" applyAlignment="1">
      <alignment horizontal="center" vertical="center"/>
    </xf>
    <xf numFmtId="0" fontId="57" fillId="0" borderId="111" xfId="0" applyFont="1" applyBorder="1" applyAlignment="1">
      <alignment horizontal="center" vertical="center"/>
    </xf>
    <xf numFmtId="0" fontId="56" fillId="0" borderId="107" xfId="0" applyFont="1" applyBorder="1" applyAlignment="1">
      <alignment horizontal="center" vertical="center"/>
    </xf>
    <xf numFmtId="0" fontId="56" fillId="0" borderId="106" xfId="0" applyFont="1" applyBorder="1" applyAlignment="1">
      <alignment horizontal="center" vertical="center"/>
    </xf>
    <xf numFmtId="15" fontId="60" fillId="0" borderId="109" xfId="0" applyNumberFormat="1" applyFont="1" applyBorder="1" applyAlignment="1">
      <alignment horizontal="center" vertical="center"/>
    </xf>
    <xf numFmtId="0" fontId="60" fillId="0" borderId="110" xfId="0" applyFont="1" applyBorder="1" applyAlignment="1">
      <alignment horizontal="center" vertical="center"/>
    </xf>
    <xf numFmtId="0" fontId="56" fillId="0" borderId="108" xfId="0" applyFont="1" applyBorder="1" applyAlignment="1">
      <alignment horizontal="center" vertical="center"/>
    </xf>
    <xf numFmtId="49" fontId="60" fillId="0" borderId="109" xfId="0" applyNumberFormat="1" applyFont="1" applyBorder="1" applyAlignment="1">
      <alignment horizontal="center" vertical="center"/>
    </xf>
    <xf numFmtId="49" fontId="60" fillId="0" borderId="110" xfId="0" applyNumberFormat="1" applyFont="1" applyBorder="1" applyAlignment="1">
      <alignment horizontal="center" vertical="center"/>
    </xf>
    <xf numFmtId="49" fontId="60" fillId="0" borderId="111" xfId="0" applyNumberFormat="1" applyFont="1" applyBorder="1" applyAlignment="1">
      <alignment horizontal="center" vertical="center"/>
    </xf>
    <xf numFmtId="0" fontId="60" fillId="0" borderId="111" xfId="0" applyFont="1" applyBorder="1" applyAlignment="1">
      <alignment horizontal="center" vertical="center"/>
    </xf>
    <xf numFmtId="0" fontId="60" fillId="0" borderId="109" xfId="0" applyFont="1" applyBorder="1" applyAlignment="1">
      <alignment horizontal="center" vertical="center"/>
    </xf>
    <xf numFmtId="9" fontId="51" fillId="0" borderId="103" xfId="0" applyNumberFormat="1" applyFont="1" applyBorder="1" applyAlignment="1" applyProtection="1">
      <alignment horizontal="center" vertical="center" wrapText="1"/>
      <protection locked="0"/>
    </xf>
    <xf numFmtId="0" fontId="52" fillId="0" borderId="103" xfId="0" applyFont="1" applyBorder="1" applyAlignment="1" applyProtection="1">
      <alignment horizontal="center" vertical="center"/>
      <protection locked="0"/>
    </xf>
    <xf numFmtId="9" fontId="51" fillId="0" borderId="103" xfId="0" applyNumberFormat="1" applyFont="1" applyBorder="1" applyAlignment="1">
      <alignment horizontal="center" vertical="center" wrapText="1"/>
    </xf>
    <xf numFmtId="0" fontId="52" fillId="0" borderId="103" xfId="0" applyFont="1" applyBorder="1" applyAlignment="1">
      <alignment horizontal="center" vertical="center"/>
    </xf>
    <xf numFmtId="0" fontId="50" fillId="0" borderId="103" xfId="0" applyFont="1" applyBorder="1" applyAlignment="1">
      <alignment horizontal="center" vertical="center" wrapText="1"/>
    </xf>
    <xf numFmtId="0" fontId="50" fillId="0" borderId="103" xfId="0" applyFont="1" applyBorder="1" applyAlignment="1">
      <alignment horizontal="center" vertical="center"/>
    </xf>
    <xf numFmtId="0" fontId="51" fillId="0" borderId="103" xfId="0" applyFont="1" applyBorder="1" applyAlignment="1" applyProtection="1">
      <alignment horizontal="center" vertical="center"/>
      <protection locked="0"/>
    </xf>
    <xf numFmtId="0" fontId="51" fillId="0" borderId="123" xfId="0" applyFont="1" applyBorder="1" applyAlignment="1" applyProtection="1">
      <alignment horizontal="center" vertical="center" wrapText="1"/>
      <protection locked="0"/>
    </xf>
    <xf numFmtId="0" fontId="51" fillId="0" borderId="125" xfId="0" applyFont="1" applyBorder="1" applyAlignment="1" applyProtection="1">
      <alignment horizontal="center" vertical="center" wrapText="1"/>
      <protection locked="0"/>
    </xf>
    <xf numFmtId="0" fontId="51" fillId="0" borderId="124" xfId="0" applyFont="1" applyBorder="1" applyAlignment="1" applyProtection="1">
      <alignment horizontal="center" vertical="center" wrapText="1"/>
      <protection locked="0"/>
    </xf>
    <xf numFmtId="0" fontId="51" fillId="0" borderId="103" xfId="0" applyFont="1" applyBorder="1" applyAlignment="1" applyProtection="1">
      <alignment horizontal="center" vertical="center" wrapText="1"/>
      <protection locked="0"/>
    </xf>
    <xf numFmtId="0" fontId="50" fillId="4" borderId="103" xfId="0" applyFont="1" applyFill="1" applyBorder="1" applyAlignment="1">
      <alignment horizontal="center" vertical="center"/>
    </xf>
    <xf numFmtId="0" fontId="50" fillId="4" borderId="103" xfId="0" applyFont="1" applyFill="1" applyBorder="1" applyAlignment="1">
      <alignment horizontal="left" vertical="center"/>
    </xf>
    <xf numFmtId="0" fontId="52" fillId="0" borderId="103" xfId="0" applyFont="1" applyBorder="1" applyAlignment="1">
      <alignment horizontal="left" vertical="center"/>
    </xf>
    <xf numFmtId="0" fontId="64" fillId="2" borderId="126" xfId="0" applyFont="1" applyFill="1" applyBorder="1" applyAlignment="1" applyProtection="1">
      <alignment horizontal="left" vertical="center"/>
      <protection locked="0"/>
    </xf>
    <xf numFmtId="0" fontId="52" fillId="0" borderId="127" xfId="0" applyFont="1" applyBorder="1" applyProtection="1">
      <protection locked="0"/>
    </xf>
    <xf numFmtId="0" fontId="52" fillId="0" borderId="128" xfId="0" applyFont="1" applyBorder="1" applyProtection="1">
      <protection locked="0"/>
    </xf>
    <xf numFmtId="0" fontId="51" fillId="2" borderId="43" xfId="0" applyFont="1" applyFill="1" applyBorder="1" applyAlignment="1" applyProtection="1">
      <alignment horizontal="center" vertical="center"/>
      <protection locked="0"/>
    </xf>
    <xf numFmtId="0" fontId="52" fillId="0" borderId="38" xfId="0" applyFont="1" applyBorder="1" applyAlignment="1" applyProtection="1">
      <alignment horizontal="center" vertical="center"/>
      <protection locked="0"/>
    </xf>
    <xf numFmtId="0" fontId="52" fillId="0" borderId="44" xfId="0" applyFont="1" applyBorder="1" applyAlignment="1" applyProtection="1">
      <alignment horizontal="center" vertical="center"/>
      <protection locked="0"/>
    </xf>
    <xf numFmtId="0" fontId="64" fillId="2" borderId="126" xfId="0" applyFont="1" applyFill="1" applyBorder="1" applyAlignment="1" applyProtection="1">
      <alignment horizontal="left" vertical="center" wrapText="1"/>
      <protection locked="0"/>
    </xf>
    <xf numFmtId="0" fontId="50" fillId="4" borderId="103" xfId="0" applyFont="1" applyFill="1" applyBorder="1" applyAlignment="1">
      <alignment horizontal="center" vertical="center" wrapText="1"/>
    </xf>
    <xf numFmtId="0" fontId="50" fillId="4" borderId="103" xfId="0" applyFont="1" applyFill="1" applyBorder="1" applyAlignment="1">
      <alignment horizontal="center" vertical="center" textRotation="90"/>
    </xf>
    <xf numFmtId="0" fontId="50" fillId="4" borderId="103" xfId="0" applyFont="1" applyFill="1" applyBorder="1" applyAlignment="1">
      <alignment horizontal="center" vertical="center" textRotation="90" wrapText="1"/>
    </xf>
    <xf numFmtId="0" fontId="51" fillId="0" borderId="123" xfId="0" applyFont="1" applyBorder="1" applyAlignment="1" applyProtection="1">
      <alignment horizontal="center" vertical="center"/>
      <protection locked="0"/>
    </xf>
    <xf numFmtId="0" fontId="51" fillId="0" borderId="125" xfId="0" applyFont="1" applyBorder="1" applyAlignment="1" applyProtection="1">
      <alignment horizontal="center" vertical="center"/>
      <protection locked="0"/>
    </xf>
    <xf numFmtId="0" fontId="51" fillId="0" borderId="124" xfId="0" applyFont="1" applyBorder="1" applyAlignment="1" applyProtection="1">
      <alignment horizontal="center" vertical="center"/>
      <protection locked="0"/>
    </xf>
    <xf numFmtId="0" fontId="63" fillId="0" borderId="52" xfId="0" applyFont="1" applyBorder="1" applyAlignment="1">
      <alignment horizontal="center" vertical="center" textRotation="90" wrapText="1"/>
    </xf>
    <xf numFmtId="0" fontId="63" fillId="0" borderId="120" xfId="0" applyFont="1" applyBorder="1" applyAlignment="1">
      <alignment horizontal="center" vertical="center" textRotation="90"/>
    </xf>
    <xf numFmtId="0" fontId="63" fillId="0" borderId="121" xfId="0" applyFont="1" applyBorder="1" applyAlignment="1">
      <alignment horizontal="center" vertical="center" textRotation="90"/>
    </xf>
    <xf numFmtId="0" fontId="63" fillId="0" borderId="122" xfId="0" applyFont="1" applyBorder="1" applyAlignment="1">
      <alignment horizontal="center" vertical="center" textRotation="90"/>
    </xf>
    <xf numFmtId="0" fontId="50" fillId="4" borderId="123" xfId="0" applyFont="1" applyFill="1" applyBorder="1" applyAlignment="1">
      <alignment horizontal="center" vertical="center" textRotation="90" wrapText="1"/>
    </xf>
    <xf numFmtId="0" fontId="50" fillId="4" borderId="124" xfId="0" applyFont="1" applyFill="1" applyBorder="1" applyAlignment="1">
      <alignment horizontal="center" vertical="center" textRotation="90" wrapText="1"/>
    </xf>
    <xf numFmtId="0" fontId="51" fillId="0" borderId="103" xfId="0" applyFont="1" applyBorder="1" applyAlignment="1">
      <alignment horizontal="center" vertical="center" wrapText="1"/>
    </xf>
    <xf numFmtId="0" fontId="2" fillId="3"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4" fillId="0" borderId="8" xfId="0" applyFont="1" applyBorder="1" applyAlignment="1">
      <alignment horizontal="left" vertical="center" wrapText="1"/>
    </xf>
    <xf numFmtId="0" fontId="0" fillId="0" borderId="0" xfId="0"/>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5" fillId="2" borderId="13" xfId="0" quotePrefix="1" applyFont="1" applyFill="1" applyBorder="1" applyAlignment="1">
      <alignment horizontal="left" vertical="top" wrapText="1"/>
    </xf>
    <xf numFmtId="0" fontId="3" fillId="0" borderId="14" xfId="0" applyFont="1" applyBorder="1"/>
    <xf numFmtId="0" fontId="3" fillId="0" borderId="15" xfId="0" applyFont="1" applyBorder="1"/>
    <xf numFmtId="0" fontId="6" fillId="2" borderId="16" xfId="0" applyFont="1" applyFill="1" applyBorder="1" applyAlignment="1">
      <alignment horizontal="left" vertical="center" wrapText="1"/>
    </xf>
    <xf numFmtId="0" fontId="3" fillId="0" borderId="17" xfId="0" applyFont="1" applyBorder="1"/>
    <xf numFmtId="0" fontId="3" fillId="0" borderId="18" xfId="0" applyFont="1" applyBorder="1"/>
    <xf numFmtId="0" fontId="4" fillId="0" borderId="8" xfId="0" applyFont="1" applyBorder="1" applyAlignment="1">
      <alignment horizontal="left" vertical="top" wrapText="1"/>
    </xf>
    <xf numFmtId="0" fontId="3" fillId="0" borderId="8" xfId="0" applyFont="1" applyBorder="1"/>
    <xf numFmtId="0" fontId="10" fillId="3" borderId="21" xfId="0" applyFont="1" applyFill="1" applyBorder="1" applyAlignment="1">
      <alignment horizontal="center" vertical="center" wrapText="1"/>
    </xf>
    <xf numFmtId="0" fontId="3" fillId="0" borderId="22" xfId="0" applyFont="1" applyBorder="1"/>
    <xf numFmtId="0" fontId="10" fillId="3" borderId="23" xfId="0" applyFont="1" applyFill="1" applyBorder="1" applyAlignment="1">
      <alignment horizontal="center" vertical="center"/>
    </xf>
    <xf numFmtId="0" fontId="3" fillId="0" borderId="24" xfId="0" applyFont="1" applyBorder="1"/>
    <xf numFmtId="0" fontId="10" fillId="2" borderId="25" xfId="0" applyFont="1" applyFill="1" applyBorder="1" applyAlignment="1">
      <alignment horizontal="left" vertical="top" wrapText="1" readingOrder="1"/>
    </xf>
    <xf numFmtId="0" fontId="3" fillId="0" borderId="26" xfId="0" applyFont="1" applyBorder="1"/>
    <xf numFmtId="0" fontId="11" fillId="2" borderId="27" xfId="0" applyFont="1" applyFill="1" applyBorder="1" applyAlignment="1">
      <alignment horizontal="left" vertical="center" wrapText="1"/>
    </xf>
    <xf numFmtId="0" fontId="3" fillId="0" borderId="28" xfId="0" applyFont="1" applyBorder="1"/>
    <xf numFmtId="0" fontId="10" fillId="2" borderId="29" xfId="0" applyFont="1" applyFill="1" applyBorder="1" applyAlignment="1">
      <alignment horizontal="left" vertical="center" wrapText="1"/>
    </xf>
    <xf numFmtId="0" fontId="3" fillId="0" borderId="30" xfId="0" applyFont="1" applyBorder="1"/>
    <xf numFmtId="0" fontId="11" fillId="2" borderId="31" xfId="0" applyFont="1" applyFill="1" applyBorder="1" applyAlignment="1">
      <alignment horizontal="left" vertical="center" wrapText="1"/>
    </xf>
    <xf numFmtId="0" fontId="3" fillId="0" borderId="32" xfId="0" applyFont="1" applyBorder="1"/>
    <xf numFmtId="0" fontId="11" fillId="2" borderId="35" xfId="0" applyFont="1" applyFill="1" applyBorder="1" applyAlignment="1">
      <alignment horizontal="left" vertical="center" wrapText="1"/>
    </xf>
    <xf numFmtId="0" fontId="3" fillId="0" borderId="36" xfId="0" applyFont="1" applyBorder="1"/>
    <xf numFmtId="0" fontId="4" fillId="2" borderId="37" xfId="0" applyFont="1" applyFill="1" applyBorder="1" applyAlignment="1">
      <alignment horizontal="left" vertical="top" wrapText="1"/>
    </xf>
    <xf numFmtId="0" fontId="3" fillId="0" borderId="38" xfId="0" applyFont="1" applyBorder="1"/>
    <xf numFmtId="0" fontId="3" fillId="0" borderId="39" xfId="0" applyFont="1" applyBorder="1"/>
    <xf numFmtId="0" fontId="10" fillId="2" borderId="33" xfId="0" applyFont="1" applyFill="1" applyBorder="1" applyAlignment="1">
      <alignment horizontal="left" vertical="center" wrapText="1"/>
    </xf>
    <xf numFmtId="0" fontId="3" fillId="0" borderId="34" xfId="0" applyFont="1" applyBorder="1"/>
    <xf numFmtId="0" fontId="16" fillId="7" borderId="45" xfId="0" applyFont="1" applyFill="1" applyBorder="1" applyAlignment="1">
      <alignment horizontal="center" vertical="center" wrapText="1" readingOrder="1"/>
    </xf>
    <xf numFmtId="0" fontId="3" fillId="0" borderId="53" xfId="0" applyFont="1" applyBorder="1"/>
    <xf numFmtId="0" fontId="3" fillId="0" borderId="50" xfId="0" applyFont="1" applyBorder="1"/>
    <xf numFmtId="0" fontId="3" fillId="0" borderId="63" xfId="0" applyFont="1" applyBorder="1"/>
    <xf numFmtId="0" fontId="16" fillId="8" borderId="66" xfId="0" applyFont="1" applyFill="1" applyBorder="1" applyAlignment="1">
      <alignment horizontal="center" wrapText="1" readingOrder="1"/>
    </xf>
    <xf numFmtId="0" fontId="3" fillId="0" borderId="47" xfId="0" applyFont="1" applyBorder="1"/>
    <xf numFmtId="0" fontId="3" fillId="0" borderId="62" xfId="0" applyFont="1" applyBorder="1"/>
    <xf numFmtId="0" fontId="3" fillId="0" borderId="52" xfId="0" applyFont="1" applyBorder="1"/>
    <xf numFmtId="0" fontId="16" fillId="8" borderId="45" xfId="0" applyFont="1" applyFill="1" applyBorder="1" applyAlignment="1">
      <alignment horizontal="center" wrapText="1" readingOrder="1"/>
    </xf>
    <xf numFmtId="0" fontId="16" fillId="7" borderId="54" xfId="0" applyFont="1" applyFill="1" applyBorder="1" applyAlignment="1">
      <alignment horizontal="center" vertical="center" wrapText="1" readingOrder="1"/>
    </xf>
    <xf numFmtId="0" fontId="3" fillId="0" borderId="57" xfId="0" applyFont="1" applyBorder="1"/>
    <xf numFmtId="0" fontId="16" fillId="7" borderId="58" xfId="0" applyFont="1" applyFill="1" applyBorder="1" applyAlignment="1">
      <alignment horizontal="center" vertical="center" wrapText="1" readingOrder="1"/>
    </xf>
    <xf numFmtId="0" fontId="16" fillId="7" borderId="66" xfId="0" applyFont="1" applyFill="1" applyBorder="1" applyAlignment="1">
      <alignment horizontal="center" vertical="center" wrapText="1" readingOrder="1"/>
    </xf>
    <xf numFmtId="0" fontId="16" fillId="8" borderId="58" xfId="0" applyFont="1" applyFill="1" applyBorder="1" applyAlignment="1">
      <alignment horizontal="center" wrapText="1" readingOrder="1"/>
    </xf>
    <xf numFmtId="0" fontId="3" fillId="0" borderId="67" xfId="0" applyFont="1" applyBorder="1"/>
    <xf numFmtId="0" fontId="3" fillId="0" borderId="70" xfId="0" applyFont="1" applyBorder="1"/>
    <xf numFmtId="0" fontId="3" fillId="0" borderId="71" xfId="0" applyFont="1" applyBorder="1"/>
    <xf numFmtId="0" fontId="3" fillId="0" borderId="69" xfId="0" applyFont="1" applyBorder="1"/>
    <xf numFmtId="0" fontId="16" fillId="9" borderId="58" xfId="0" applyFont="1" applyFill="1" applyBorder="1" applyAlignment="1">
      <alignment horizontal="center" wrapText="1" readingOrder="1"/>
    </xf>
    <xf numFmtId="0" fontId="3" fillId="0" borderId="56" xfId="0" applyFont="1" applyBorder="1"/>
    <xf numFmtId="0" fontId="16" fillId="9" borderId="54" xfId="0" applyFont="1" applyFill="1" applyBorder="1" applyAlignment="1">
      <alignment horizontal="center" wrapText="1" readingOrder="1"/>
    </xf>
    <xf numFmtId="0" fontId="16" fillId="8" borderId="54" xfId="0" applyFont="1" applyFill="1" applyBorder="1" applyAlignment="1">
      <alignment horizontal="center" wrapText="1" readingOrder="1"/>
    </xf>
    <xf numFmtId="0" fontId="16" fillId="10" borderId="45" xfId="0" applyFont="1" applyFill="1" applyBorder="1" applyAlignment="1">
      <alignment horizontal="center" wrapText="1" readingOrder="1"/>
    </xf>
    <xf numFmtId="0" fontId="16" fillId="9" borderId="45" xfId="0" applyFont="1" applyFill="1" applyBorder="1" applyAlignment="1">
      <alignment horizontal="center" wrapText="1" readingOrder="1"/>
    </xf>
    <xf numFmtId="0" fontId="16" fillId="9" borderId="66" xfId="0" applyFont="1" applyFill="1" applyBorder="1" applyAlignment="1">
      <alignment horizontal="center" wrapText="1" readingOrder="1"/>
    </xf>
    <xf numFmtId="0" fontId="17" fillId="10" borderId="59" xfId="0" applyFont="1" applyFill="1" applyBorder="1" applyAlignment="1">
      <alignment horizontal="center" vertical="center" wrapText="1" readingOrder="1"/>
    </xf>
    <xf numFmtId="0" fontId="3" fillId="0" borderId="60" xfId="0" applyFont="1" applyBorder="1"/>
    <xf numFmtId="0" fontId="3" fillId="0" borderId="61" xfId="0" applyFont="1" applyBorder="1"/>
    <xf numFmtId="0" fontId="3" fillId="0" borderId="64" xfId="0" applyFont="1" applyBorder="1"/>
    <xf numFmtId="0" fontId="3" fillId="0" borderId="65" xfId="0" applyFont="1" applyBorder="1"/>
    <xf numFmtId="0" fontId="3" fillId="0" borderId="72" xfId="0" applyFont="1" applyBorder="1"/>
    <xf numFmtId="0" fontId="3" fillId="0" borderId="73" xfId="0" applyFont="1" applyBorder="1"/>
    <xf numFmtId="0" fontId="3" fillId="0" borderId="74" xfId="0" applyFont="1" applyBorder="1"/>
    <xf numFmtId="0" fontId="17" fillId="7" borderId="59" xfId="0" applyFont="1" applyFill="1" applyBorder="1" applyAlignment="1">
      <alignment horizontal="center" vertical="center" wrapText="1" readingOrder="1"/>
    </xf>
    <xf numFmtId="0" fontId="17" fillId="9" borderId="59" xfId="0" applyFont="1" applyFill="1" applyBorder="1" applyAlignment="1">
      <alignment horizontal="center" vertical="center" wrapText="1" readingOrder="1"/>
    </xf>
    <xf numFmtId="0" fontId="17" fillId="8" borderId="59" xfId="0" applyFont="1" applyFill="1" applyBorder="1" applyAlignment="1">
      <alignment horizontal="center" vertical="center" wrapText="1" readingOrder="1"/>
    </xf>
    <xf numFmtId="0" fontId="15" fillId="0" borderId="54" xfId="0" applyFont="1" applyBorder="1" applyAlignment="1">
      <alignment horizontal="center" vertical="center" wrapText="1"/>
    </xf>
    <xf numFmtId="0" fontId="3" fillId="0" borderId="55" xfId="0" applyFont="1" applyBorder="1"/>
    <xf numFmtId="0" fontId="3" fillId="0" borderId="68" xfId="0" applyFont="1" applyBorder="1"/>
    <xf numFmtId="0" fontId="16" fillId="10" borderId="54" xfId="0" applyFont="1" applyFill="1" applyBorder="1" applyAlignment="1">
      <alignment horizontal="center" wrapText="1" readingOrder="1"/>
    </xf>
    <xf numFmtId="0" fontId="16" fillId="10" borderId="66" xfId="0" applyFont="1" applyFill="1" applyBorder="1" applyAlignment="1">
      <alignment horizontal="center" wrapText="1" readingOrder="1"/>
    </xf>
    <xf numFmtId="0" fontId="16" fillId="10" borderId="58" xfId="0" applyFont="1" applyFill="1" applyBorder="1" applyAlignment="1">
      <alignment horizontal="center" wrapText="1" readingOrder="1"/>
    </xf>
    <xf numFmtId="0" fontId="12" fillId="0" borderId="0" xfId="0" applyFont="1" applyAlignment="1">
      <alignment horizontal="center" vertical="center" wrapText="1"/>
    </xf>
    <xf numFmtId="0" fontId="14" fillId="6" borderId="45" xfId="0" applyFont="1" applyFill="1" applyBorder="1" applyAlignment="1">
      <alignment horizontal="center" vertical="center" wrapText="1" readingOrder="1"/>
    </xf>
    <xf numFmtId="0" fontId="3" fillId="0" borderId="46" xfId="0" applyFont="1" applyBorder="1"/>
    <xf numFmtId="0" fontId="3" fillId="0" borderId="48" xfId="0" applyFont="1" applyBorder="1"/>
    <xf numFmtId="0" fontId="3" fillId="0" borderId="49" xfId="0" applyFont="1" applyBorder="1"/>
    <xf numFmtId="0" fontId="3" fillId="0" borderId="51" xfId="0" applyFont="1" applyBorder="1"/>
    <xf numFmtId="0" fontId="14" fillId="6" borderId="45" xfId="0" applyFont="1" applyFill="1" applyBorder="1" applyAlignment="1">
      <alignment horizontal="center" vertical="center" textRotation="90" wrapText="1" readingOrder="1"/>
    </xf>
    <xf numFmtId="0" fontId="21" fillId="7" borderId="59" xfId="0" applyFont="1" applyFill="1" applyBorder="1" applyAlignment="1">
      <alignment horizontal="center" vertical="center" wrapText="1" readingOrder="1"/>
    </xf>
    <xf numFmtId="0" fontId="21" fillId="9" borderId="59" xfId="0" applyFont="1" applyFill="1" applyBorder="1" applyAlignment="1">
      <alignment horizontal="center" vertical="center" wrapText="1" readingOrder="1"/>
    </xf>
    <xf numFmtId="0" fontId="21" fillId="8" borderId="59" xfId="0" applyFont="1" applyFill="1" applyBorder="1" applyAlignment="1">
      <alignment horizontal="center" vertical="center" wrapText="1" readingOrder="1"/>
    </xf>
    <xf numFmtId="0" fontId="21" fillId="10" borderId="59" xfId="0" applyFont="1" applyFill="1" applyBorder="1" applyAlignment="1">
      <alignment horizontal="center" vertical="center" wrapText="1" readingOrder="1"/>
    </xf>
    <xf numFmtId="0" fontId="19" fillId="0" borderId="54" xfId="0" applyFont="1" applyBorder="1" applyAlignment="1">
      <alignment horizontal="center" vertical="center" wrapText="1"/>
    </xf>
    <xf numFmtId="0" fontId="18" fillId="0" borderId="0" xfId="0" applyFont="1" applyAlignment="1">
      <alignment horizontal="center" vertical="center" wrapText="1"/>
    </xf>
    <xf numFmtId="0" fontId="13" fillId="0" borderId="0" xfId="0" applyFont="1" applyAlignment="1">
      <alignment horizontal="center" vertical="center"/>
    </xf>
    <xf numFmtId="0" fontId="27" fillId="0" borderId="0" xfId="0" applyFont="1" applyAlignment="1">
      <alignment horizontal="center" vertical="center"/>
    </xf>
    <xf numFmtId="0" fontId="44" fillId="2" borderId="43" xfId="0" applyFont="1" applyFill="1" applyBorder="1" applyAlignment="1">
      <alignment horizontal="left" vertical="center" wrapText="1"/>
    </xf>
    <xf numFmtId="0" fontId="3" fillId="0" borderId="44" xfId="0" applyFont="1" applyBorder="1"/>
    <xf numFmtId="0" fontId="42" fillId="2" borderId="96" xfId="0" applyFont="1" applyFill="1" applyBorder="1" applyAlignment="1">
      <alignment horizontal="center" vertical="center" wrapText="1" readingOrder="1"/>
    </xf>
    <xf numFmtId="0" fontId="3" fillId="0" borderId="95" xfId="0" applyFont="1" applyBorder="1"/>
    <xf numFmtId="0" fontId="3" fillId="0" borderId="100" xfId="0" applyFont="1" applyBorder="1"/>
    <xf numFmtId="0" fontId="40" fillId="15" borderId="81" xfId="0" applyFont="1" applyFill="1" applyBorder="1" applyAlignment="1">
      <alignment horizontal="center" vertical="center" wrapText="1" readingOrder="1"/>
    </xf>
    <xf numFmtId="0" fontId="3" fillId="0" borderId="82" xfId="0" applyFont="1" applyBorder="1"/>
    <xf numFmtId="0" fontId="3" fillId="0" borderId="83" xfId="0" applyFont="1" applyBorder="1"/>
    <xf numFmtId="0" fontId="42" fillId="15" borderId="81" xfId="0" applyFont="1" applyFill="1" applyBorder="1" applyAlignment="1">
      <alignment horizontal="center" vertical="center" wrapText="1" readingOrder="1"/>
    </xf>
    <xf numFmtId="0" fontId="3" fillId="0" borderId="84" xfId="0" applyFont="1" applyBorder="1"/>
    <xf numFmtId="0" fontId="42" fillId="2" borderId="87" xfId="0" applyFont="1" applyFill="1" applyBorder="1" applyAlignment="1">
      <alignment horizontal="center" vertical="center" wrapText="1" readingOrder="1"/>
    </xf>
    <xf numFmtId="0" fontId="3" fillId="0" borderId="91" xfId="0" applyFont="1" applyBorder="1"/>
    <xf numFmtId="0" fontId="3" fillId="0" borderId="97" xfId="0" applyFont="1" applyBorder="1"/>
    <xf numFmtId="0" fontId="42" fillId="2" borderId="88" xfId="0" applyFont="1" applyFill="1" applyBorder="1" applyAlignment="1">
      <alignment horizontal="center" vertical="center" wrapText="1" readingOrder="1"/>
    </xf>
    <xf numFmtId="0" fontId="3" fillId="0" borderId="92" xfId="0" applyFont="1" applyBorder="1"/>
    <xf numFmtId="0" fontId="42" fillId="2" borderId="98" xfId="0" applyFont="1" applyFill="1" applyBorder="1" applyAlignment="1">
      <alignment horizontal="center" vertical="center" wrapText="1" readingOrder="1"/>
    </xf>
    <xf numFmtId="0" fontId="3" fillId="0" borderId="99" xfId="0" applyFont="1" applyBorder="1"/>
    <xf numFmtId="0" fontId="55" fillId="0" borderId="112" xfId="0" applyFont="1" applyBorder="1" applyAlignment="1">
      <alignment horizontal="center" vertical="center" wrapText="1"/>
    </xf>
    <xf numFmtId="0" fontId="55" fillId="0" borderId="52" xfId="0" applyFont="1" applyBorder="1" applyAlignment="1">
      <alignment horizontal="center" vertical="center" wrapText="1"/>
    </xf>
    <xf numFmtId="0" fontId="55" fillId="0" borderId="113" xfId="0" applyFont="1" applyBorder="1" applyAlignment="1">
      <alignment horizontal="center" vertical="center" wrapText="1"/>
    </xf>
    <xf numFmtId="0" fontId="59" fillId="0" borderId="109" xfId="0" applyFont="1" applyBorder="1"/>
    <xf numFmtId="0" fontId="59" fillId="0" borderId="110" xfId="0" applyFont="1" applyBorder="1"/>
    <xf numFmtId="0" fontId="59" fillId="0" borderId="111" xfId="0" applyFont="1" applyBorder="1"/>
    <xf numFmtId="0" fontId="0" fillId="0" borderId="109" xfId="0" applyBorder="1" applyAlignment="1">
      <alignment vertical="top" wrapText="1"/>
    </xf>
    <xf numFmtId="0" fontId="0" fillId="0" borderId="110" xfId="0" applyBorder="1" applyAlignment="1">
      <alignment vertical="top" wrapText="1"/>
    </xf>
    <xf numFmtId="0" fontId="0" fillId="0" borderId="111" xfId="0" applyBorder="1" applyAlignment="1">
      <alignment vertical="top" wrapText="1"/>
    </xf>
    <xf numFmtId="0" fontId="59" fillId="0" borderId="112" xfId="0" applyFont="1" applyBorder="1"/>
    <xf numFmtId="0" fontId="59" fillId="0" borderId="52" xfId="0" applyFont="1" applyBorder="1"/>
    <xf numFmtId="0" fontId="59" fillId="0" borderId="113" xfId="0" applyFont="1" applyBorder="1"/>
    <xf numFmtId="0" fontId="55" fillId="0" borderId="112" xfId="0" applyFont="1" applyBorder="1" applyAlignment="1">
      <alignment horizontal="justify" vertical="center" wrapText="1"/>
    </xf>
    <xf numFmtId="0" fontId="55" fillId="0" borderId="52" xfId="0" applyFont="1" applyBorder="1" applyAlignment="1">
      <alignment horizontal="justify" vertical="center" wrapText="1"/>
    </xf>
    <xf numFmtId="0" fontId="55" fillId="0" borderId="113" xfId="0" applyFont="1" applyBorder="1" applyAlignment="1">
      <alignment horizontal="justify" vertical="center" wrapText="1"/>
    </xf>
    <xf numFmtId="0" fontId="55" fillId="0" borderId="107" xfId="0" applyFont="1" applyBorder="1" applyAlignment="1">
      <alignment horizontal="justify" vertical="center" wrapText="1"/>
    </xf>
    <xf numFmtId="0" fontId="55" fillId="0" borderId="106" xfId="0" applyFont="1" applyBorder="1" applyAlignment="1">
      <alignment horizontal="justify" vertical="center" wrapText="1"/>
    </xf>
    <xf numFmtId="0" fontId="55" fillId="0" borderId="108" xfId="0" applyFont="1" applyBorder="1" applyAlignment="1">
      <alignment horizontal="justify" vertical="center" wrapText="1"/>
    </xf>
    <xf numFmtId="0" fontId="59" fillId="0" borderId="117" xfId="0" applyFont="1" applyBorder="1"/>
    <xf numFmtId="0" fontId="59" fillId="0" borderId="118" xfId="0" applyFont="1" applyBorder="1"/>
    <xf numFmtId="0" fontId="51" fillId="0" borderId="118" xfId="0" applyFont="1" applyBorder="1" applyAlignment="1">
      <alignment horizontal="justify" vertical="center" wrapText="1"/>
    </xf>
    <xf numFmtId="0" fontId="51" fillId="0" borderId="118" xfId="0" applyFont="1" applyBorder="1" applyAlignment="1">
      <alignment horizontal="center" vertical="center" wrapText="1"/>
    </xf>
    <xf numFmtId="0" fontId="51" fillId="0" borderId="119" xfId="0" applyFont="1" applyBorder="1" applyAlignment="1">
      <alignment horizontal="center" vertical="center" wrapText="1"/>
    </xf>
    <xf numFmtId="0" fontId="50" fillId="0" borderId="0" xfId="0" applyFont="1" applyAlignment="1">
      <alignment horizontal="center" vertical="center"/>
    </xf>
    <xf numFmtId="0" fontId="50" fillId="0" borderId="114" xfId="0" applyFont="1" applyBorder="1" applyAlignment="1">
      <alignment horizontal="center" vertical="center" wrapText="1"/>
    </xf>
    <xf numFmtId="0" fontId="50" fillId="0" borderId="115" xfId="0" applyFont="1" applyBorder="1" applyAlignment="1">
      <alignment horizontal="center" vertical="center" wrapText="1"/>
    </xf>
    <xf numFmtId="0" fontId="50" fillId="0" borderId="116" xfId="0" applyFont="1" applyBorder="1" applyAlignment="1">
      <alignment horizontal="center" vertical="center" wrapText="1"/>
    </xf>
    <xf numFmtId="0" fontId="51" fillId="0" borderId="103" xfId="0" applyFont="1" applyFill="1" applyBorder="1" applyAlignment="1" applyProtection="1">
      <alignment horizontal="center" vertical="center" wrapText="1"/>
      <protection locked="0"/>
    </xf>
  </cellXfs>
  <cellStyles count="1">
    <cellStyle name="Normal" xfId="0" builtinId="0"/>
  </cellStyles>
  <dxfs count="136">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92D050"/>
          <bgColor rgb="FF92D050"/>
        </patternFill>
      </fill>
    </dxf>
    <dxf>
      <fill>
        <patternFill patternType="solid">
          <fgColor rgb="FFFFFF00"/>
          <bgColor rgb="FFFFFF0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FFFF00"/>
          <bgColor rgb="FFFFFF00"/>
        </patternFill>
      </fill>
    </dxf>
    <dxf>
      <fill>
        <patternFill patternType="solid">
          <fgColor rgb="FF92D050"/>
          <bgColor rgb="FF92D050"/>
        </patternFill>
      </fill>
    </dxf>
    <dxf>
      <fill>
        <patternFill patternType="solid">
          <fgColor rgb="FFE36C09"/>
          <bgColor rgb="FFE36C09"/>
        </patternFill>
      </fill>
    </dxf>
    <dxf>
      <fill>
        <patternFill patternType="solid">
          <fgColor rgb="FFC00000"/>
          <bgColor rgb="FFC00000"/>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FFFF00"/>
          <bgColor rgb="FFFFFF00"/>
        </patternFill>
      </fill>
    </dxf>
    <dxf>
      <fill>
        <patternFill patternType="solid">
          <fgColor rgb="FFE36C09"/>
          <bgColor rgb="FFE36C09"/>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0000"/>
          <bgColor rgb="FFFF00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C000"/>
          <bgColor rgb="FFFFC00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C000"/>
          <bgColor rgb="FFFFC000"/>
        </patternFill>
      </fill>
    </dxf>
    <dxf>
      <fill>
        <patternFill patternType="solid">
          <fgColor rgb="FF00B050"/>
          <bgColor rgb="FF00B050"/>
        </patternFill>
      </fill>
    </dxf>
    <dxf>
      <fill>
        <patternFill patternType="solid">
          <fgColor rgb="FFFFFF66"/>
          <bgColor rgb="FFFFFF66"/>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defaultTableStyle="TableStyleMedium2" defaultPivotStyle="PivotStyleLight16">
    <tableStyle name="Tabla Impacto-style" pivot="0" count="3" xr9:uid="{00000000-0011-0000-FFFF-FFFF00000000}">
      <tableStyleElement type="headerRow" dxfId="135"/>
      <tableStyleElement type="firstRowStripe" dxfId="134"/>
      <tableStyleElement type="secondRowStripe" dxfId="13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1551214</xdr:colOff>
      <xdr:row>0</xdr:row>
      <xdr:rowOff>0</xdr:rowOff>
    </xdr:from>
    <xdr:to>
      <xdr:col>2</xdr:col>
      <xdr:colOff>1768929</xdr:colOff>
      <xdr:row>4</xdr:row>
      <xdr:rowOff>181198</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3357" y="0"/>
          <a:ext cx="1796143" cy="12697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9</xdr:col>
      <xdr:colOff>1436446</xdr:colOff>
      <xdr:row>71</xdr:row>
      <xdr:rowOff>829</xdr:rowOff>
    </xdr:to>
    <xdr:pic>
      <xdr:nvPicPr>
        <xdr:cNvPr id="3" name="Imagen 2">
          <a:extLst>
            <a:ext uri="{FF2B5EF4-FFF2-40B4-BE49-F238E27FC236}">
              <a16:creationId xmlns:a16="http://schemas.microsoft.com/office/drawing/2014/main" id="{1C29A827-5818-E91F-38E5-499EA623C474}"/>
            </a:ext>
          </a:extLst>
        </xdr:cNvPr>
        <xdr:cNvPicPr>
          <a:picLocks noChangeAspect="1"/>
        </xdr:cNvPicPr>
      </xdr:nvPicPr>
      <xdr:blipFill>
        <a:blip xmlns:r="http://schemas.openxmlformats.org/officeDocument/2006/relationships" r:embed="rId2"/>
        <a:stretch>
          <a:fillRect/>
        </a:stretch>
      </xdr:blipFill>
      <xdr:spPr>
        <a:xfrm>
          <a:off x="7862455" y="9663545"/>
          <a:ext cx="5506218" cy="41534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C%20-%20701575\Downloads\pe_f_055_mapa_riesgos_gestion_FORMUL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a final"/>
      <sheetName val="Intructivo"/>
      <sheetName val="Matriz Calor Inherente"/>
      <sheetName val="Matriz Calor Residual"/>
      <sheetName val="Tabla probabilidad"/>
      <sheetName val="Tabla Impacto"/>
      <sheetName val="Tabla Valoración controles"/>
      <sheetName val="CONTROL DE CAMBIO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 sheetId="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209:C219">
  <tableColumns count="2">
    <tableColumn id="1" xr3:uid="{00000000-0010-0000-0000-000001000000}" name="Criterios"/>
    <tableColumn id="2" xr3:uid="{00000000-0010-0000-0000-000002000000}" name="Subcriterios"/>
  </tableColumns>
  <tableStyleInfo name="Tabla Impacto-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AK48"/>
  <sheetViews>
    <sheetView showGridLines="0" tabSelected="1" topLeftCell="B1" zoomScale="80" zoomScaleNormal="80" workbookViewId="0">
      <pane xSplit="9825" topLeftCell="AC1"/>
      <selection activeCell="E31" sqref="E31:E33"/>
      <selection pane="topRight" activeCell="AF16" sqref="AF16"/>
    </sheetView>
  </sheetViews>
  <sheetFormatPr baseColWidth="10" defaultColWidth="12.625" defaultRowHeight="16.5" x14ac:dyDescent="0.2"/>
  <cols>
    <col min="1" max="1" width="3.5" style="103" customWidth="1"/>
    <col min="2" max="2" width="20.625" style="103" customWidth="1"/>
    <col min="3" max="4" width="26.375" style="103" customWidth="1"/>
    <col min="5" max="5" width="39.75" style="103" customWidth="1"/>
    <col min="6" max="6" width="16.625" style="103" customWidth="1"/>
    <col min="7" max="7" width="15.625" style="103" customWidth="1"/>
    <col min="8" max="8" width="14.5" style="103" customWidth="1"/>
    <col min="9" max="9" width="6.5" style="103" customWidth="1"/>
    <col min="10" max="10" width="23.875" style="103" customWidth="1"/>
    <col min="11" max="11" width="26.75" style="103" bestFit="1" customWidth="1"/>
    <col min="12" max="12" width="15.375" style="103" customWidth="1"/>
    <col min="13" max="13" width="5.5" style="103" customWidth="1"/>
    <col min="14" max="14" width="14" style="103" customWidth="1"/>
    <col min="15" max="15" width="5.125" style="103" customWidth="1"/>
    <col min="16" max="16" width="103.375" style="103" customWidth="1"/>
    <col min="17" max="17" width="13.25" style="103" customWidth="1"/>
    <col min="18" max="18" width="6" style="103" customWidth="1"/>
    <col min="19" max="19" width="4.375" style="103" customWidth="1"/>
    <col min="20" max="20" width="4.875" style="103" customWidth="1"/>
    <col min="21" max="21" width="6.25" style="103" customWidth="1"/>
    <col min="22" max="22" width="5.875" style="103" customWidth="1"/>
    <col min="23" max="23" width="6.625" style="103" customWidth="1"/>
    <col min="24" max="24" width="6.375" style="103" customWidth="1"/>
    <col min="25" max="25" width="7.625" style="103" customWidth="1"/>
    <col min="26" max="26" width="6.625" style="103" customWidth="1"/>
    <col min="27" max="27" width="8.125" style="103" customWidth="1"/>
    <col min="28" max="28" width="6.75" style="103" customWidth="1"/>
    <col min="29" max="29" width="7.375" style="103" customWidth="1"/>
    <col min="30" max="30" width="7.375" customWidth="1"/>
    <col min="31" max="31" width="8.375" style="103" customWidth="1"/>
    <col min="32" max="32" width="20.125" style="103" customWidth="1"/>
    <col min="33" max="33" width="16.5" style="103" customWidth="1"/>
    <col min="34" max="34" width="19.875" style="103" customWidth="1"/>
    <col min="35" max="35" width="17.875" style="103" customWidth="1"/>
    <col min="36" max="36" width="16.25" style="103" customWidth="1"/>
    <col min="37" max="37" width="18.375" style="103" customWidth="1"/>
    <col min="38" max="56" width="10" style="103" customWidth="1"/>
    <col min="57" max="16384" width="12.625" style="103"/>
  </cols>
  <sheetData>
    <row r="1" spans="1:37" ht="23.25" thickBot="1" x14ac:dyDescent="0.25">
      <c r="A1" s="137"/>
      <c r="B1" s="138"/>
      <c r="C1" s="138"/>
      <c r="D1" s="139"/>
      <c r="E1" s="146" t="s">
        <v>224</v>
      </c>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c r="AJ1" s="146"/>
      <c r="AK1" s="147"/>
    </row>
    <row r="2" spans="1:37" ht="24" x14ac:dyDescent="0.2">
      <c r="A2" s="140"/>
      <c r="B2" s="141"/>
      <c r="C2" s="141"/>
      <c r="D2" s="142"/>
      <c r="E2" s="148" t="s">
        <v>225</v>
      </c>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9"/>
    </row>
    <row r="3" spans="1:37" ht="23.25" thickBot="1" x14ac:dyDescent="0.25">
      <c r="A3" s="140"/>
      <c r="B3" s="141"/>
      <c r="C3" s="141"/>
      <c r="D3" s="142"/>
      <c r="E3" s="150" t="s">
        <v>221</v>
      </c>
      <c r="F3" s="150"/>
      <c r="G3" s="150"/>
      <c r="H3" s="150"/>
      <c r="I3" s="150"/>
      <c r="J3" s="150"/>
      <c r="K3" s="150"/>
      <c r="L3" s="150"/>
      <c r="M3" s="150"/>
      <c r="N3" s="151"/>
      <c r="O3" s="151"/>
      <c r="P3" s="151"/>
      <c r="Q3" s="151"/>
      <c r="R3" s="151"/>
      <c r="S3" s="151"/>
      <c r="T3" s="151"/>
      <c r="U3" s="151"/>
      <c r="V3" s="151"/>
      <c r="W3" s="151"/>
      <c r="X3" s="151"/>
      <c r="Y3" s="150"/>
      <c r="Z3" s="150"/>
      <c r="AA3" s="150"/>
      <c r="AB3" s="150"/>
      <c r="AC3" s="150"/>
      <c r="AD3" s="150"/>
      <c r="AE3" s="150"/>
      <c r="AF3" s="150"/>
      <c r="AG3" s="150"/>
      <c r="AH3" s="150"/>
      <c r="AI3" s="150"/>
      <c r="AJ3" s="150"/>
      <c r="AK3" s="152"/>
    </row>
    <row r="4" spans="1:37" x14ac:dyDescent="0.2">
      <c r="A4" s="140"/>
      <c r="B4" s="141"/>
      <c r="C4" s="141"/>
      <c r="D4" s="142"/>
      <c r="E4" s="153" t="s">
        <v>217</v>
      </c>
      <c r="F4" s="154"/>
      <c r="G4" s="154"/>
      <c r="H4" s="154"/>
      <c r="I4" s="154"/>
      <c r="J4" s="154"/>
      <c r="K4" s="154"/>
      <c r="L4" s="154"/>
      <c r="M4" s="154"/>
      <c r="N4" s="153" t="s">
        <v>218</v>
      </c>
      <c r="O4" s="154"/>
      <c r="P4" s="154"/>
      <c r="Q4" s="154"/>
      <c r="R4" s="154"/>
      <c r="S4" s="154"/>
      <c r="T4" s="154"/>
      <c r="U4" s="154"/>
      <c r="V4" s="154"/>
      <c r="W4" s="154"/>
      <c r="X4" s="157"/>
      <c r="Y4" s="154" t="s">
        <v>219</v>
      </c>
      <c r="Z4" s="154"/>
      <c r="AA4" s="154"/>
      <c r="AB4" s="154"/>
      <c r="AC4" s="154"/>
      <c r="AD4" s="154"/>
      <c r="AE4" s="154"/>
      <c r="AF4" s="154"/>
      <c r="AG4" s="157"/>
      <c r="AH4" s="153" t="s">
        <v>220</v>
      </c>
      <c r="AI4" s="154"/>
      <c r="AJ4" s="154"/>
      <c r="AK4" s="157"/>
    </row>
    <row r="5" spans="1:37" ht="18" thickBot="1" x14ac:dyDescent="0.25">
      <c r="A5" s="143"/>
      <c r="B5" s="144"/>
      <c r="C5" s="144"/>
      <c r="D5" s="145"/>
      <c r="E5" s="155">
        <v>45782</v>
      </c>
      <c r="F5" s="156"/>
      <c r="G5" s="156"/>
      <c r="H5" s="156"/>
      <c r="I5" s="156"/>
      <c r="J5" s="156"/>
      <c r="K5" s="156"/>
      <c r="L5" s="156"/>
      <c r="M5" s="156"/>
      <c r="N5" s="158" t="s">
        <v>241</v>
      </c>
      <c r="O5" s="159"/>
      <c r="P5" s="159"/>
      <c r="Q5" s="159"/>
      <c r="R5" s="159"/>
      <c r="S5" s="159"/>
      <c r="T5" s="159"/>
      <c r="U5" s="159"/>
      <c r="V5" s="159"/>
      <c r="W5" s="159"/>
      <c r="X5" s="160"/>
      <c r="Y5" s="156" t="s">
        <v>222</v>
      </c>
      <c r="Z5" s="156"/>
      <c r="AA5" s="156"/>
      <c r="AB5" s="156"/>
      <c r="AC5" s="156"/>
      <c r="AD5" s="156"/>
      <c r="AE5" s="156"/>
      <c r="AF5" s="156"/>
      <c r="AG5" s="161"/>
      <c r="AH5" s="162" t="s">
        <v>223</v>
      </c>
      <c r="AI5" s="156"/>
      <c r="AJ5" s="156"/>
      <c r="AK5" s="161"/>
    </row>
    <row r="6" spans="1:37" x14ac:dyDescent="0.3">
      <c r="AD6" s="116"/>
    </row>
    <row r="7" spans="1:37" x14ac:dyDescent="0.2">
      <c r="A7" s="174" t="s">
        <v>61</v>
      </c>
      <c r="B7" s="174"/>
      <c r="C7" s="174"/>
      <c r="D7" s="174"/>
      <c r="E7" s="174"/>
      <c r="F7" s="174"/>
      <c r="G7" s="174"/>
      <c r="H7" s="174"/>
      <c r="I7" s="174"/>
      <c r="J7" s="174"/>
      <c r="K7" s="174"/>
      <c r="L7" s="174"/>
      <c r="M7" s="174"/>
      <c r="N7" s="174"/>
      <c r="O7" s="174"/>
      <c r="P7" s="174"/>
      <c r="Q7" s="174"/>
      <c r="R7" s="174"/>
      <c r="S7" s="174"/>
      <c r="T7" s="174"/>
      <c r="U7" s="174"/>
      <c r="V7" s="174"/>
      <c r="W7" s="174"/>
      <c r="X7" s="174"/>
      <c r="Y7" s="174"/>
      <c r="Z7" s="174"/>
      <c r="AA7" s="174"/>
      <c r="AB7" s="174"/>
      <c r="AC7" s="174"/>
      <c r="AD7" s="174"/>
      <c r="AE7" s="174"/>
      <c r="AF7" s="174"/>
      <c r="AG7" s="174"/>
      <c r="AH7" s="174"/>
      <c r="AI7" s="174"/>
      <c r="AJ7" s="174"/>
      <c r="AK7" s="174"/>
    </row>
    <row r="8" spans="1:37" x14ac:dyDescent="0.2">
      <c r="A8" s="174"/>
      <c r="B8" s="174"/>
      <c r="C8" s="174"/>
      <c r="D8" s="174"/>
      <c r="E8" s="174"/>
      <c r="F8" s="174"/>
      <c r="G8" s="174"/>
      <c r="H8" s="174"/>
      <c r="I8" s="174"/>
      <c r="J8" s="174"/>
      <c r="K8" s="174"/>
      <c r="L8" s="174"/>
      <c r="M8" s="174"/>
      <c r="N8" s="174"/>
      <c r="O8" s="174"/>
      <c r="P8" s="174"/>
      <c r="Q8" s="174"/>
      <c r="R8" s="174"/>
      <c r="S8" s="174"/>
      <c r="T8" s="174"/>
      <c r="U8" s="174"/>
      <c r="V8" s="174"/>
      <c r="W8" s="174"/>
      <c r="X8" s="174"/>
      <c r="Y8" s="174"/>
      <c r="Z8" s="174"/>
      <c r="AA8" s="174"/>
      <c r="AB8" s="174"/>
      <c r="AC8" s="174"/>
      <c r="AD8" s="174"/>
      <c r="AE8" s="174"/>
      <c r="AF8" s="174"/>
      <c r="AG8" s="174"/>
      <c r="AH8" s="174"/>
      <c r="AI8" s="174"/>
      <c r="AJ8" s="174"/>
      <c r="AK8" s="174"/>
    </row>
    <row r="9" spans="1:37" x14ac:dyDescent="0.2">
      <c r="A9" s="10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5"/>
      <c r="AE9" s="104"/>
      <c r="AF9" s="104"/>
      <c r="AG9" s="104"/>
      <c r="AH9" s="104"/>
      <c r="AI9" s="104"/>
      <c r="AJ9" s="104"/>
      <c r="AK9" s="104"/>
    </row>
    <row r="10" spans="1:37" ht="18" x14ac:dyDescent="0.3">
      <c r="A10" s="175" t="s">
        <v>213</v>
      </c>
      <c r="B10" s="176"/>
      <c r="C10" s="177" t="s">
        <v>242</v>
      </c>
      <c r="D10" s="178"/>
      <c r="E10" s="178"/>
      <c r="F10" s="178"/>
      <c r="G10" s="178"/>
      <c r="H10" s="178"/>
      <c r="I10" s="178"/>
      <c r="J10" s="178"/>
      <c r="K10" s="178"/>
      <c r="L10" s="178"/>
      <c r="M10" s="178"/>
      <c r="N10" s="179"/>
      <c r="O10" s="180"/>
      <c r="P10" s="181"/>
      <c r="Q10" s="182"/>
      <c r="R10" s="104"/>
      <c r="S10" s="104"/>
      <c r="T10" s="104"/>
      <c r="U10" s="104"/>
      <c r="V10" s="104"/>
      <c r="W10" s="104"/>
      <c r="X10" s="104"/>
      <c r="Y10" s="104"/>
      <c r="Z10" s="104"/>
      <c r="AA10" s="104"/>
      <c r="AB10" s="104"/>
      <c r="AC10" s="104"/>
      <c r="AD10" s="190"/>
      <c r="AE10" s="104"/>
      <c r="AF10" s="104"/>
      <c r="AG10" s="104"/>
      <c r="AH10" s="104"/>
      <c r="AI10" s="104"/>
      <c r="AJ10" s="104"/>
      <c r="AK10" s="104"/>
    </row>
    <row r="11" spans="1:37" ht="56.25" customHeight="1" x14ac:dyDescent="0.3">
      <c r="A11" s="175" t="s">
        <v>62</v>
      </c>
      <c r="B11" s="176"/>
      <c r="C11" s="183" t="s">
        <v>243</v>
      </c>
      <c r="D11" s="178"/>
      <c r="E11" s="178"/>
      <c r="F11" s="178"/>
      <c r="G11" s="178"/>
      <c r="H11" s="178"/>
      <c r="I11" s="178"/>
      <c r="J11" s="178"/>
      <c r="K11" s="178"/>
      <c r="L11" s="178"/>
      <c r="M11" s="178"/>
      <c r="N11" s="179"/>
      <c r="O11" s="104"/>
      <c r="P11" s="104"/>
      <c r="Q11" s="104"/>
      <c r="R11" s="104"/>
      <c r="S11" s="104"/>
      <c r="T11" s="104"/>
      <c r="U11" s="104"/>
      <c r="V11" s="104"/>
      <c r="W11" s="104"/>
      <c r="X11" s="104"/>
      <c r="Y11" s="104"/>
      <c r="Z11" s="104"/>
      <c r="AA11" s="104"/>
      <c r="AB11" s="104"/>
      <c r="AC11" s="104"/>
      <c r="AD11" s="190"/>
      <c r="AE11" s="104"/>
      <c r="AF11" s="104"/>
      <c r="AG11" s="104"/>
      <c r="AH11" s="104"/>
      <c r="AI11" s="104"/>
      <c r="AJ11" s="104"/>
      <c r="AK11" s="104"/>
    </row>
    <row r="12" spans="1:37" ht="63" customHeight="1" x14ac:dyDescent="0.3">
      <c r="A12" s="175" t="s">
        <v>63</v>
      </c>
      <c r="B12" s="176"/>
      <c r="C12" s="183" t="s">
        <v>244</v>
      </c>
      <c r="D12" s="178"/>
      <c r="E12" s="178"/>
      <c r="F12" s="178"/>
      <c r="G12" s="178"/>
      <c r="H12" s="178"/>
      <c r="I12" s="178"/>
      <c r="J12" s="178"/>
      <c r="K12" s="178"/>
      <c r="L12" s="178"/>
      <c r="M12" s="178"/>
      <c r="N12" s="179"/>
      <c r="O12" s="105"/>
      <c r="P12" s="105"/>
      <c r="Q12" s="105"/>
      <c r="R12" s="105"/>
      <c r="S12" s="105"/>
      <c r="T12" s="105"/>
      <c r="U12" s="105"/>
      <c r="V12" s="105"/>
      <c r="W12" s="105"/>
      <c r="X12" s="105"/>
      <c r="Y12" s="105"/>
      <c r="Z12" s="105"/>
      <c r="AA12" s="105"/>
      <c r="AB12" s="105"/>
      <c r="AC12" s="105"/>
      <c r="AD12" s="190"/>
      <c r="AE12" s="105"/>
      <c r="AF12" s="105"/>
      <c r="AG12" s="105"/>
      <c r="AH12" s="105"/>
      <c r="AI12" s="105"/>
      <c r="AJ12" s="105"/>
      <c r="AK12" s="105"/>
    </row>
    <row r="13" spans="1:37" s="118" customFormat="1" x14ac:dyDescent="0.2">
      <c r="A13" s="174" t="s">
        <v>64</v>
      </c>
      <c r="B13" s="166"/>
      <c r="C13" s="166"/>
      <c r="D13" s="166"/>
      <c r="E13" s="166"/>
      <c r="F13" s="166"/>
      <c r="G13" s="166"/>
      <c r="H13" s="174" t="s">
        <v>65</v>
      </c>
      <c r="I13" s="166"/>
      <c r="J13" s="166"/>
      <c r="K13" s="166"/>
      <c r="L13" s="166"/>
      <c r="M13" s="166"/>
      <c r="N13" s="166"/>
      <c r="O13" s="174" t="s">
        <v>66</v>
      </c>
      <c r="P13" s="166"/>
      <c r="Q13" s="166"/>
      <c r="R13" s="166"/>
      <c r="S13" s="166"/>
      <c r="T13" s="166"/>
      <c r="U13" s="166"/>
      <c r="V13" s="166"/>
      <c r="W13" s="166"/>
      <c r="X13" s="174" t="s">
        <v>67</v>
      </c>
      <c r="Y13" s="166"/>
      <c r="Z13" s="166"/>
      <c r="AA13" s="166"/>
      <c r="AB13" s="166"/>
      <c r="AC13" s="166"/>
      <c r="AD13" s="166"/>
      <c r="AE13" s="166"/>
      <c r="AF13" s="174" t="s">
        <v>68</v>
      </c>
      <c r="AG13" s="166"/>
      <c r="AH13" s="166"/>
      <c r="AI13" s="166"/>
      <c r="AJ13" s="166"/>
      <c r="AK13" s="166"/>
    </row>
    <row r="14" spans="1:37" s="118" customFormat="1" x14ac:dyDescent="0.2">
      <c r="A14" s="185" t="s">
        <v>69</v>
      </c>
      <c r="B14" s="174" t="s">
        <v>15</v>
      </c>
      <c r="C14" s="184" t="s">
        <v>17</v>
      </c>
      <c r="D14" s="184" t="s">
        <v>19</v>
      </c>
      <c r="E14" s="174" t="s">
        <v>21</v>
      </c>
      <c r="F14" s="184" t="s">
        <v>23</v>
      </c>
      <c r="G14" s="184" t="s">
        <v>70</v>
      </c>
      <c r="H14" s="184" t="s">
        <v>71</v>
      </c>
      <c r="I14" s="174" t="s">
        <v>72</v>
      </c>
      <c r="J14" s="184" t="s">
        <v>73</v>
      </c>
      <c r="K14" s="184" t="s">
        <v>74</v>
      </c>
      <c r="L14" s="184" t="s">
        <v>75</v>
      </c>
      <c r="M14" s="174" t="s">
        <v>72</v>
      </c>
      <c r="N14" s="184" t="s">
        <v>29</v>
      </c>
      <c r="O14" s="186" t="s">
        <v>76</v>
      </c>
      <c r="P14" s="184" t="s">
        <v>31</v>
      </c>
      <c r="Q14" s="184" t="s">
        <v>33</v>
      </c>
      <c r="R14" s="184" t="s">
        <v>77</v>
      </c>
      <c r="S14" s="166"/>
      <c r="T14" s="166"/>
      <c r="U14" s="166"/>
      <c r="V14" s="166"/>
      <c r="W14" s="166"/>
      <c r="X14" s="186" t="s">
        <v>78</v>
      </c>
      <c r="Y14" s="186" t="s">
        <v>79</v>
      </c>
      <c r="Z14" s="186" t="s">
        <v>72</v>
      </c>
      <c r="AA14" s="186" t="s">
        <v>80</v>
      </c>
      <c r="AB14" s="186" t="s">
        <v>72</v>
      </c>
      <c r="AC14" s="186" t="s">
        <v>240</v>
      </c>
      <c r="AD14" s="194" t="s">
        <v>81</v>
      </c>
      <c r="AE14" s="186" t="s">
        <v>50</v>
      </c>
      <c r="AF14" s="184" t="s">
        <v>68</v>
      </c>
      <c r="AG14" s="184" t="s">
        <v>82</v>
      </c>
      <c r="AH14" s="184" t="s">
        <v>83</v>
      </c>
      <c r="AI14" s="184" t="s">
        <v>84</v>
      </c>
      <c r="AJ14" s="184" t="s">
        <v>85</v>
      </c>
      <c r="AK14" s="184" t="s">
        <v>54</v>
      </c>
    </row>
    <row r="15" spans="1:37" s="118" customFormat="1" ht="97.5" x14ac:dyDescent="0.2">
      <c r="A15" s="166"/>
      <c r="B15" s="166"/>
      <c r="C15" s="166"/>
      <c r="D15" s="166"/>
      <c r="E15" s="166"/>
      <c r="F15" s="166"/>
      <c r="G15" s="166"/>
      <c r="H15" s="166"/>
      <c r="I15" s="166"/>
      <c r="J15" s="166"/>
      <c r="K15" s="166"/>
      <c r="L15" s="166"/>
      <c r="M15" s="166"/>
      <c r="N15" s="166"/>
      <c r="O15" s="166"/>
      <c r="P15" s="166"/>
      <c r="Q15" s="166"/>
      <c r="R15" s="119" t="s">
        <v>86</v>
      </c>
      <c r="S15" s="119" t="s">
        <v>87</v>
      </c>
      <c r="T15" s="119" t="s">
        <v>88</v>
      </c>
      <c r="U15" s="119" t="s">
        <v>89</v>
      </c>
      <c r="V15" s="119" t="s">
        <v>90</v>
      </c>
      <c r="W15" s="119" t="s">
        <v>91</v>
      </c>
      <c r="X15" s="166"/>
      <c r="Y15" s="166"/>
      <c r="Z15" s="166"/>
      <c r="AA15" s="166"/>
      <c r="AB15" s="166"/>
      <c r="AC15" s="166"/>
      <c r="AD15" s="195"/>
      <c r="AE15" s="166"/>
      <c r="AF15" s="166"/>
      <c r="AG15" s="166"/>
      <c r="AH15" s="166"/>
      <c r="AI15" s="166"/>
      <c r="AJ15" s="166"/>
      <c r="AK15" s="166"/>
    </row>
    <row r="16" spans="1:37" ht="99.75" customHeight="1" x14ac:dyDescent="0.2">
      <c r="A16" s="187">
        <v>1</v>
      </c>
      <c r="B16" s="173" t="s">
        <v>197</v>
      </c>
      <c r="C16" s="173" t="s">
        <v>246</v>
      </c>
      <c r="D16" s="173" t="s">
        <v>250</v>
      </c>
      <c r="E16" s="173" t="s">
        <v>251</v>
      </c>
      <c r="F16" s="173" t="s">
        <v>203</v>
      </c>
      <c r="G16" s="169">
        <v>876</v>
      </c>
      <c r="H16" s="167" t="str">
        <f>IF(G16&lt;=0,"",IF(G16&lt;=2,"Muy Baja",IF(G16&lt;=24,"Baja",IF(G16&lt;=500,"Media",IF(G16&lt;=5000,"Alta","Muy Alta")))))</f>
        <v>Alta</v>
      </c>
      <c r="I16" s="165">
        <f>IF(H16="","",IF(H16="Muy Baja",0.2,IF(H16="Baja",0.4,IF(H16="Media",0.6,IF(H16="Alta",0.8,IF(H16="Muy Alta",1,))))))</f>
        <v>0.8</v>
      </c>
      <c r="J16" s="163" t="s">
        <v>154</v>
      </c>
      <c r="K16" s="165" t="str">
        <f>IF(NOT(ISERROR(MATCH(J16,'[1]Tabla Impacto'!$B$221:$B$223,0))),'[1]Tabla Impacto'!$F$223&amp;"Por favor no seleccionar los criterios de impacto(Afectación Económica o presupuestal y Pérdida Reputacional)",J16)</f>
        <v xml:space="preserve">     Mayor a 500 SMLMV </v>
      </c>
      <c r="L16" s="167" t="str">
        <f>IF(OR(K16='[1]Tabla Impacto'!$C$11,K16='[1]Tabla Impacto'!$D$11),"Leve",IF(OR(K16='[1]Tabla Impacto'!$C$12,K16='[1]Tabla Impacto'!$D$12),"Menor",IF(OR(K16='[1]Tabla Impacto'!$C$13,K16='[1]Tabla Impacto'!$D$13),"Moderado",IF(OR(K16='[1]Tabla Impacto'!$C$14,K16='[1]Tabla Impacto'!$D$14),"Mayor",IF(OR(K16='[1]Tabla Impacto'!$C$15,K16='[1]Tabla Impacto'!$D$15),"Catastrófico","")))))</f>
        <v>Catastrófico</v>
      </c>
      <c r="M16" s="165">
        <f>IF(L16="","",IF(L16="Leve",0.2,IF(L16="Menor",0.4,IF(L16="Moderado",0.6,IF(L16="Mayor",0.8,IF(L16="Catastrófico",1,))))))</f>
        <v>1</v>
      </c>
      <c r="N16" s="168"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Extremo</v>
      </c>
      <c r="O16" s="106">
        <v>1</v>
      </c>
      <c r="P16" s="130" t="s">
        <v>248</v>
      </c>
      <c r="Q16" s="110" t="str">
        <f t="shared" ref="Q16:Q43" si="0">IF(OR(R16="Preventivo",R16="Detectivo"),"Probabilidad",IF(R16="Correctivo","Impacto",""))</f>
        <v>Probabilidad</v>
      </c>
      <c r="R16" s="108" t="s">
        <v>167</v>
      </c>
      <c r="S16" s="108" t="s">
        <v>175</v>
      </c>
      <c r="T16" s="111" t="str">
        <f t="shared" ref="T16:T40" si="1">IF(AND(R16="Preventivo",S16="Automático"),"50%",IF(AND(R16="Preventivo",S16="Manual"),"40%",IF(AND(R16="Detectivo",S16="Automático"),"40%",IF(AND(R16="Detectivo",S16="Manual"),"30%",IF(AND(R16="Correctivo",S16="Automático"),"35%",IF(AND(R16="Correctivo",S16="Manual"),"25%",""))))))</f>
        <v>40%</v>
      </c>
      <c r="U16" s="131" t="s">
        <v>178</v>
      </c>
      <c r="V16" s="131" t="s">
        <v>183</v>
      </c>
      <c r="W16" s="131" t="s">
        <v>187</v>
      </c>
      <c r="X16" s="112">
        <f>IFERROR(IF(Q16="Probabilidad",(I16-(+I16*T16)),IF(Q16="Impacto",I16,"")),"")</f>
        <v>0.48</v>
      </c>
      <c r="Y16" s="113" t="str">
        <f t="shared" ref="Y16:Y43" si="2">IFERROR(IF(X16="","",IF(X16&lt;=0.2,"Muy Baja",IF(X16&lt;=0.4,"Baja",IF(X16&lt;=0.6,"Media",IF(X16&lt;=0.8,"Alta","Muy Alta"))))),"")</f>
        <v>Media</v>
      </c>
      <c r="Z16" s="111">
        <f t="shared" ref="Z16:Z43" si="3">+X16</f>
        <v>0.48</v>
      </c>
      <c r="AA16" s="113" t="str">
        <f t="shared" ref="AA16:AA43" si="4">IFERROR(IF(AB16="","",IF(AB16&lt;=0.2,"Leve",IF(AB16&lt;=0.4,"Menor",IF(AB16&lt;=0.6,"Moderado",IF(AB16&lt;=0.8,"Mayor","Catastrófico"))))),"")</f>
        <v>Catastrófico</v>
      </c>
      <c r="AB16" s="111">
        <f>IFERROR(IF(Q16="Impacto",(M16-(+M16*T16)),IF(Q16="Probabilidad",M16,"")),"")</f>
        <v>1</v>
      </c>
      <c r="AC16" s="114" t="str">
        <f t="shared" ref="AC16:AC43" si="5">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Extremo</v>
      </c>
      <c r="AD16" s="191" t="str">
        <f>IFERROR(IF(OR(AND(AC16="Bajo",AC17="Bajo",AC18="Bajo"),AND(AC16="Bajo",AC17="Bajo",AC18=""),AND(AC16="Bajo",AC17="",AC18="")),"Bajo",IF(OR(AND(AC16="Bajo",AC17="Bajo",AC18="Moderado"),AND(AC16="Bajo",AC17="Moderado",AC18="Moderado"),AND(AC16="Moderado",AC17="Moderado",AC18="Moderado"),AND(AC16="Bajo",AC17="Moderado",AC18=""),AND(AC16="Moderado",AC17="Bajo",AC18=""),AND(AC16="Moderado",AC17="Moderado",AC18=""),AND(AC16="Moderado",AC17="",AC18="")),"Moderado",IF(OR(AND(AC16="Bajo",AC17="Bajo",AC18="Alto"),AND(AC16="Bajo",AC17="Moderado",AC18="Alto"),AND(AC16="Moderado",AC17="Bajo",AC18="Alto"),AND(AC16="Moderado",AC17="Alto",AC18="Bajo"),AND(AC16="Moderado",AC17="Moderado",AC18="Alto"),AND(AC16="Alto",AC17="Bajo",AC18="Bajo"),AND(AC16="Alto",AC17="Moderado",AC18="Bajo"),AND(AC16="Alto",AC17="Moderado",AC18="Moderado"),AND(AC16="Alto",AC17="Alto",AC18="Bajo"),AND(AC16="Alto",AC17="Alto",AC18="Moderado"),AND(AC16="Alto",AC17="Alto",AC18="Alto"),AND(AC16="Alto",AC17="Bajo",AC18=""),AND(AC16="Alto",AC17="Moderado",AC18=""),AND(AC16="Alto",AC17="Alto",AC18=""),AND(AC16="Bajo",AC17="Alto",AC18=""),AND(AC16="Moderado",AC17="Alto",AC18=""),AND(AC16="Alto",AC17="",AC18="")),"Alto",IF(OR(AND(AC16="Bajo",AC17="Bajo",AC18="Extremo"),AND(AC16="Bajo",AC17="Moderado",AC18="Extremo"),AND(AC16="Bajo",AC17="Alto",AC18="Extremo"),AND(AC16="Moderado",AC17="Bajo",AC18="Extremo"),AND(AC16="Moderado",AC17="Alto",AC18="Extremo"),AND(AC16="Moderado",AC17="Moderado",AC18="Extremo"),AND(AC16="Alto",AC17="Bajo",AC18="Extremo"),AND(AC16="Alto",AC17="Moderado",AC18="Extremo"),AND(AC16="Alto",AC17="Alto",AC18="Extremo"),AND(AC16="Extremo",AC17="Bajo",AC18="Bajo"),AND(AC16="Extremo",AC17="Bajo",AC18="Moderado"),AND(AC16="Extremo",AC17="Bajo",AC18="Alto"),AND(AC16="Extremo",AC17="Moderado",AC18="Bajo"),AND(AC16="Extremo",AC17="Moderado",AC18="Moderado"),AND(AC16="Extremo",AC17="Moderado",AC18="Alto"),AND(AC16="Extremo",AC17="Alto",AC18="Bajo"),AND(AC16="Extremo",AC17="Alto",AC18="Moderado"),AND(AC16="Extremo",AC17="Alto",AC18="Alto"),AND(AC16="Extremo",AC17="Extremo",AC18="Bajo"),AND(AC16="Extremo",AC17="Extremo",AC18="Moderado"),AND(AC16="Extremo",AC17="Extremo",AC18="Alto"),AND(AC16="Extremo",AC17="Extremo",AC18="Extremo"),AND(AC16="Extremo",AC17="Bajo",AC18=""),AND(AC16="Extremo",AC17="Moderado",AC18=""),AND(AC16="Extremo",AC17="Alto",AC18=""),AND(AC16="Extremo",AC17="",AC18="")),"Extremo")))),"")</f>
        <v>Extremo</v>
      </c>
      <c r="AE16" s="134" t="s">
        <v>198</v>
      </c>
      <c r="AF16" s="107"/>
      <c r="AG16" s="107"/>
      <c r="AH16" s="109"/>
      <c r="AI16" s="109"/>
      <c r="AJ16" s="107"/>
      <c r="AK16" s="106"/>
    </row>
    <row r="17" spans="1:37" ht="99" customHeight="1" x14ac:dyDescent="0.2">
      <c r="A17" s="188"/>
      <c r="B17" s="164"/>
      <c r="C17" s="173"/>
      <c r="D17" s="173"/>
      <c r="E17" s="164"/>
      <c r="F17" s="164"/>
      <c r="G17" s="164"/>
      <c r="H17" s="166"/>
      <c r="I17" s="166"/>
      <c r="J17" s="164"/>
      <c r="K17" s="166"/>
      <c r="L17" s="166"/>
      <c r="M17" s="166"/>
      <c r="N17" s="166"/>
      <c r="O17" s="106">
        <v>2</v>
      </c>
      <c r="P17" s="133" t="s">
        <v>262</v>
      </c>
      <c r="Q17" s="110" t="str">
        <f t="shared" si="0"/>
        <v>Probabilidad</v>
      </c>
      <c r="R17" s="108" t="s">
        <v>169</v>
      </c>
      <c r="S17" s="108" t="s">
        <v>175</v>
      </c>
      <c r="T17" s="111" t="str">
        <f t="shared" ref="T17:T18" si="6">IF(AND(R17="Preventivo",S17="Automático"),"50%",IF(AND(R17="Preventivo",S17="Manual"),"40%",IF(AND(R17="Detectivo",S17="Automático"),"40%",IF(AND(R17="Detectivo",S17="Manual"),"30%",IF(AND(R17="Correctivo",S17="Automático"),"35%",IF(AND(R17="Correctivo",S17="Manual"),"25%",""))))))</f>
        <v>30%</v>
      </c>
      <c r="U17" s="131" t="s">
        <v>178</v>
      </c>
      <c r="V17" s="131" t="s">
        <v>183</v>
      </c>
      <c r="W17" s="131" t="s">
        <v>187</v>
      </c>
      <c r="X17" s="112">
        <f>IFERROR(IF(AND(Q16="Probabilidad",Q17="Probabilidad"),(Z16-(+Z16*T17)),IF(Q17="Probabilidad",(I16-(+I16*T17)),IF(Q17="Impacto",Z16,""))),"")</f>
        <v>0.33599999999999997</v>
      </c>
      <c r="Y17" s="113" t="str">
        <f t="shared" si="2"/>
        <v>Baja</v>
      </c>
      <c r="Z17" s="111">
        <f t="shared" si="3"/>
        <v>0.33599999999999997</v>
      </c>
      <c r="AA17" s="113" t="str">
        <f t="shared" si="4"/>
        <v>Catastrófico</v>
      </c>
      <c r="AB17" s="111">
        <f>IFERROR(IF(AND(Q16="Impacto",Q17="Impacto"),(AB16-(+AB16*T17)),IF(Q17="Impacto",($M$16-(+$M$16*T17)),IF(Q17="Probabilidad",AB16,""))),"")</f>
        <v>1</v>
      </c>
      <c r="AC17" s="114" t="str">
        <f t="shared" si="5"/>
        <v>Extremo</v>
      </c>
      <c r="AD17" s="192"/>
      <c r="AE17" s="135"/>
      <c r="AF17" s="107"/>
      <c r="AG17" s="107"/>
      <c r="AH17" s="109"/>
      <c r="AI17" s="109"/>
      <c r="AJ17" s="107"/>
      <c r="AK17" s="106"/>
    </row>
    <row r="18" spans="1:37" ht="63" customHeight="1" x14ac:dyDescent="0.2">
      <c r="A18" s="189"/>
      <c r="B18" s="164"/>
      <c r="C18" s="173"/>
      <c r="D18" s="173"/>
      <c r="E18" s="164"/>
      <c r="F18" s="164"/>
      <c r="G18" s="164"/>
      <c r="H18" s="166"/>
      <c r="I18" s="166"/>
      <c r="J18" s="164"/>
      <c r="K18" s="166"/>
      <c r="L18" s="166"/>
      <c r="M18" s="166"/>
      <c r="N18" s="166"/>
      <c r="O18" s="106">
        <v>3</v>
      </c>
      <c r="P18" s="130" t="s">
        <v>249</v>
      </c>
      <c r="Q18" s="110" t="str">
        <f t="shared" si="0"/>
        <v>Probabilidad</v>
      </c>
      <c r="R18" s="108" t="s">
        <v>169</v>
      </c>
      <c r="S18" s="108" t="s">
        <v>175</v>
      </c>
      <c r="T18" s="111" t="str">
        <f t="shared" si="6"/>
        <v>30%</v>
      </c>
      <c r="U18" s="131" t="s">
        <v>178</v>
      </c>
      <c r="V18" s="131" t="s">
        <v>183</v>
      </c>
      <c r="W18" s="131" t="s">
        <v>187</v>
      </c>
      <c r="X18" s="112">
        <f>IFERROR(IF(AND(Q17="Probabilidad",Q18="Probabilidad"),(Z17-(+Z17*T18)),IF(AND(Q17="Impacto",Q18="Probabilidad"),(Z16-(+Z16*T18)),IF(Q18="Impacto",Z17,""))),"")</f>
        <v>0.23519999999999996</v>
      </c>
      <c r="Y18" s="113" t="str">
        <f t="shared" si="2"/>
        <v>Baja</v>
      </c>
      <c r="Z18" s="111">
        <f t="shared" si="3"/>
        <v>0.23519999999999996</v>
      </c>
      <c r="AA18" s="113" t="str">
        <f t="shared" si="4"/>
        <v>Catastrófico</v>
      </c>
      <c r="AB18" s="111">
        <f>IFERROR(IF(AND(Q17="Impacto",Q18="Impacto"),(AB17-(+AB17*T18)),IF(AND(Q17="Probabilidad",Q18="Impacto"),(AB16-(+AB16*T18)),IF(Q18="Probabilidad",AB17,""))),"")</f>
        <v>1</v>
      </c>
      <c r="AC18" s="114" t="str">
        <f t="shared" si="5"/>
        <v>Extremo</v>
      </c>
      <c r="AD18" s="193"/>
      <c r="AE18" s="136"/>
      <c r="AF18" s="107"/>
      <c r="AG18" s="107"/>
      <c r="AH18" s="109"/>
      <c r="AI18" s="109"/>
      <c r="AJ18" s="107"/>
      <c r="AK18" s="106"/>
    </row>
    <row r="19" spans="1:37" ht="18.75" hidden="1" customHeight="1" x14ac:dyDescent="0.2">
      <c r="A19" s="122"/>
      <c r="B19" s="124"/>
      <c r="C19" s="124"/>
      <c r="D19" s="124"/>
      <c r="E19" s="124"/>
      <c r="F19" s="124"/>
      <c r="G19" s="129"/>
      <c r="H19" s="127" t="str">
        <f>IF(G19&lt;=0,"",IF(G19&lt;=2,"Muy Baja",IF(G19&lt;=24,"Baja",IF(G19&lt;=500,"Media",IF(G19&lt;=5000,"Alta","Muy Alta")))))</f>
        <v/>
      </c>
      <c r="I19" s="126" t="str">
        <f>IF(H19="","",IF(H19="Muy Baja",0.2,IF(H19="Baja",0.4,IF(H19="Media",0.6,IF(H19="Alta",0.8,IF(H19="Muy Alta",1,))))))</f>
        <v/>
      </c>
      <c r="J19" s="125"/>
      <c r="K19" s="126">
        <f ca="1">IF(NOT(ISERROR(MATCH(J19,'Tabla Impacto'!$B$221:$B$223,0))),'Tabla Impacto'!$F$223&amp;"Por favor no seleccionar los criterios de impacto(Afectación Económica o presupuestal y Pérdida Reputacional)",J19)</f>
        <v>0</v>
      </c>
      <c r="L19" s="127" t="str">
        <f ca="1">IF(OR(K19='Tabla Impacto'!$C$11,K19='Tabla Impacto'!$D$11),"Leve",IF(OR(K19='Tabla Impacto'!$C$12,K19='Tabla Impacto'!$D$12),"Menor",IF(OR(K19='Tabla Impacto'!$C$13,K19='Tabla Impacto'!$D$13),"Moderado",IF(OR(K19='Tabla Impacto'!$C$14,K19='Tabla Impacto'!$D$14),"Mayor",IF(OR(K19='Tabla Impacto'!$C$15,K19='Tabla Impacto'!$D$15),"Catastrófico","")))))</f>
        <v/>
      </c>
      <c r="M19" s="126" t="str">
        <f ca="1">IF(L19="","",IF(L19="Leve",0.2,IF(L19="Menor",0.4,IF(L19="Moderado",0.6,IF(L19="Mayor",0.8,IF(L19="Catastrófico",1,))))))</f>
        <v/>
      </c>
      <c r="N19" s="128" t="str">
        <f ca="1">IF(OR(AND(H19="Muy Baja",L19="Leve"),AND(H19="Muy Baja",L19="Menor"),AND(H19="Baja",L19="Leve")),"Bajo",IF(OR(AND(H19="Muy baja",L19="Moderado"),AND(H19="Baja",L19="Menor"),AND(H19="Baja",L19="Moderado"),AND(H19="Media",L19="Leve"),AND(H19="Media",L19="Menor"),AND(H19="Media",L19="Moderado"),AND(H19="Alta",L19="Leve"),AND(H19="Alta",L19="Menor")),"Moderado",IF(OR(AND(H19="Muy Baja",L19="Mayor"),AND(H19="Baja",L19="Mayor"),AND(H19="Media",L19="Mayor"),AND(H19="Alta",L19="Moderado"),AND(H19="Alta",L19="Mayor"),AND(H19="Muy Alta",L19="Leve"),AND(H19="Muy Alta",L19="Menor"),AND(H19="Muy Alta",L19="Moderado"),AND(H19="Muy Alta",L19="Mayor")),"Alto",IF(OR(AND(H19="Muy Baja",L19="Catastrófico"),AND(H19="Baja",L19="Catastrófico"),AND(H19="Media",L19="Catastrófico"),AND(H19="Alta",L19="Catastrófico"),AND(H19="Muy Alta",L19="Catastrófico")),"Extremo",""))))</f>
        <v/>
      </c>
      <c r="O19" s="106"/>
      <c r="P19" s="130"/>
      <c r="Q19" s="110" t="str">
        <f t="shared" si="0"/>
        <v/>
      </c>
      <c r="R19" s="108"/>
      <c r="S19" s="108"/>
      <c r="T19" s="111" t="str">
        <f t="shared" si="1"/>
        <v/>
      </c>
      <c r="U19" s="108"/>
      <c r="V19" s="108"/>
      <c r="W19" s="108"/>
      <c r="X19" s="112" t="str">
        <f t="shared" ref="X19:X40" si="7">IFERROR(IF(Q19="Probabilidad",(I19-(+I19*T19)),IF(Q19="Impacto",I19,"")),"")</f>
        <v/>
      </c>
      <c r="Y19" s="113" t="str">
        <f t="shared" si="2"/>
        <v/>
      </c>
      <c r="Z19" s="111" t="str">
        <f t="shared" si="3"/>
        <v/>
      </c>
      <c r="AA19" s="113" t="str">
        <f t="shared" si="4"/>
        <v/>
      </c>
      <c r="AB19" s="111" t="str">
        <f t="shared" ref="AB19:AB40" si="8">IFERROR(IF(Q19="Impacto",(M19-(+M19*T19)),IF(Q19="Probabilidad",M19,"")),"")</f>
        <v/>
      </c>
      <c r="AC19" s="114" t="str">
        <f t="shared" si="5"/>
        <v/>
      </c>
      <c r="AD19" s="123"/>
      <c r="AE19" s="108"/>
      <c r="AF19" s="107"/>
      <c r="AG19" s="107"/>
      <c r="AH19" s="109"/>
      <c r="AI19" s="109"/>
      <c r="AJ19" s="107"/>
      <c r="AK19" s="106"/>
    </row>
    <row r="20" spans="1:37" ht="18.75" hidden="1" customHeight="1" x14ac:dyDescent="0.2">
      <c r="A20" s="115"/>
      <c r="B20" s="124"/>
      <c r="C20" s="124"/>
      <c r="D20" s="124"/>
      <c r="E20" s="124"/>
      <c r="F20" s="124"/>
      <c r="G20" s="129"/>
      <c r="H20" s="127" t="str">
        <f>IF(G20&lt;=0,"",IF(G20&lt;=2,"Muy Baja",IF(G20&lt;=24,"Baja",IF(G20&lt;=500,"Media",IF(G20&lt;=5000,"Alta","Muy Alta")))))</f>
        <v/>
      </c>
      <c r="I20" s="126" t="str">
        <f>IF(H20="","",IF(H20="Muy Baja",0.2,IF(H20="Baja",0.4,IF(H20="Media",0.6,IF(H20="Alta",0.8,IF(H20="Muy Alta",1,))))))</f>
        <v/>
      </c>
      <c r="J20" s="125"/>
      <c r="K20" s="126">
        <f ca="1">IF(NOT(ISERROR(MATCH(J20,'Tabla Impacto'!$B$221:$B$223,0))),'Tabla Impacto'!$F$223&amp;"Por favor no seleccionar los criterios de impacto(Afectación Económica o presupuestal y Pérdida Reputacional)",J20)</f>
        <v>0</v>
      </c>
      <c r="L20" s="127" t="str">
        <f ca="1">IF(OR(K20='Tabla Impacto'!$C$11,K20='Tabla Impacto'!$D$11),"Leve",IF(OR(K20='Tabla Impacto'!$C$12,K20='Tabla Impacto'!$D$12),"Menor",IF(OR(K20='Tabla Impacto'!$C$13,K20='Tabla Impacto'!$D$13),"Moderado",IF(OR(K20='Tabla Impacto'!$C$14,K20='Tabla Impacto'!$D$14),"Mayor",IF(OR(K20='Tabla Impacto'!$C$15,K20='Tabla Impacto'!$D$15),"Catastrófico","")))))</f>
        <v/>
      </c>
      <c r="M20" s="126" t="str">
        <f ca="1">IF(L20="","",IF(L20="Leve",0.2,IF(L20="Menor",0.4,IF(L20="Moderado",0.6,IF(L20="Mayor",0.8,IF(L20="Catastrófico",1,))))))</f>
        <v/>
      </c>
      <c r="N20" s="128" t="str">
        <f ca="1">IF(OR(AND(H20="Muy Baja",L20="Leve"),AND(H20="Muy Baja",L20="Menor"),AND(H20="Baja",L20="Leve")),"Bajo",IF(OR(AND(H20="Muy baja",L20="Moderado"),AND(H20="Baja",L20="Menor"),AND(H20="Baja",L20="Moderado"),AND(H20="Media",L20="Leve"),AND(H20="Media",L20="Menor"),AND(H20="Media",L20="Moderado"),AND(H20="Alta",L20="Leve"),AND(H20="Alta",L20="Menor")),"Moderado",IF(OR(AND(H20="Muy Baja",L20="Mayor"),AND(H20="Baja",L20="Mayor"),AND(H20="Media",L20="Mayor"),AND(H20="Alta",L20="Moderado"),AND(H20="Alta",L20="Mayor"),AND(H20="Muy Alta",L20="Leve"),AND(H20="Muy Alta",L20="Menor"),AND(H20="Muy Alta",L20="Moderado"),AND(H20="Muy Alta",L20="Mayor")),"Alto",IF(OR(AND(H20="Muy Baja",L20="Catastrófico"),AND(H20="Baja",L20="Catastrófico"),AND(H20="Media",L20="Catastrófico"),AND(H20="Alta",L20="Catastrófico"),AND(H20="Muy Alta",L20="Catastrófico")),"Extremo",""))))</f>
        <v/>
      </c>
      <c r="O20" s="106"/>
      <c r="P20" s="130"/>
      <c r="Q20" s="110" t="str">
        <f t="shared" si="0"/>
        <v/>
      </c>
      <c r="R20" s="108"/>
      <c r="S20" s="108"/>
      <c r="T20" s="111" t="str">
        <f t="shared" si="1"/>
        <v/>
      </c>
      <c r="U20" s="108"/>
      <c r="V20" s="108"/>
      <c r="W20" s="108"/>
      <c r="X20" s="112" t="str">
        <f t="shared" si="7"/>
        <v/>
      </c>
      <c r="Y20" s="113" t="str">
        <f t="shared" si="2"/>
        <v/>
      </c>
      <c r="Z20" s="111" t="str">
        <f t="shared" si="3"/>
        <v/>
      </c>
      <c r="AA20" s="113" t="str">
        <f t="shared" si="4"/>
        <v/>
      </c>
      <c r="AB20" s="111" t="str">
        <f t="shared" si="8"/>
        <v/>
      </c>
      <c r="AC20" s="114" t="str">
        <f t="shared" si="5"/>
        <v/>
      </c>
      <c r="AD20" s="121"/>
      <c r="AE20" s="108"/>
      <c r="AF20" s="107"/>
      <c r="AG20" s="107"/>
      <c r="AH20" s="109"/>
      <c r="AI20" s="109"/>
      <c r="AJ20" s="107"/>
      <c r="AK20" s="106"/>
    </row>
    <row r="21" spans="1:37" ht="6.75" hidden="1" customHeight="1" x14ac:dyDescent="0.2">
      <c r="A21" s="169">
        <v>2</v>
      </c>
      <c r="B21" s="170" t="s">
        <v>195</v>
      </c>
      <c r="C21" s="173" t="s">
        <v>247</v>
      </c>
      <c r="D21" s="173" t="s">
        <v>252</v>
      </c>
      <c r="E21" s="173" t="s">
        <v>247</v>
      </c>
      <c r="F21" s="173" t="s">
        <v>208</v>
      </c>
      <c r="G21" s="169">
        <v>600</v>
      </c>
      <c r="H21" s="167" t="str">
        <f>IF(G21&lt;=0,"",IF(G21&lt;=2,"Muy Baja",IF(G21&lt;=24,"Baja",IF(G21&lt;=500,"Media",IF(G21&lt;=5000,"Alta","Muy Alta")))))</f>
        <v>Alta</v>
      </c>
      <c r="I21" s="165">
        <f>IF(H21="","",IF(H21="Muy Baja",0.2,IF(H21="Baja",0.4,IF(H21="Media",0.6,IF(H21="Alta",0.8,IF(H21="Muy Alta",1,))))))</f>
        <v>0.8</v>
      </c>
      <c r="J21" s="163" t="s">
        <v>152</v>
      </c>
      <c r="K21" s="165" t="str">
        <f>IF(NOT(ISERROR(MATCH(J21,'[1]Tabla Impacto'!$B$221:$B$223,0))),'[1]Tabla Impacto'!$F$223&amp;"Por favor no seleccionar los criterios de impacto(Afectación Económica o presupuestal y Pérdida Reputacional)",J21)</f>
        <v xml:space="preserve">     Entre 100 y 500 SMLMV </v>
      </c>
      <c r="L21" s="167" t="str">
        <f>IF(OR(K21='[1]Tabla Impacto'!$C$11,K21='[1]Tabla Impacto'!$D$11),"Leve",IF(OR(K21='[1]Tabla Impacto'!$C$12,K21='[1]Tabla Impacto'!$D$12),"Menor",IF(OR(K21='[1]Tabla Impacto'!$C$13,K21='[1]Tabla Impacto'!$D$13),"Moderado",IF(OR(K21='[1]Tabla Impacto'!$C$14,K21='[1]Tabla Impacto'!$D$14),"Mayor",IF(OR(K21='[1]Tabla Impacto'!$C$15,K21='[1]Tabla Impacto'!$D$15),"Catastrófico","")))))</f>
        <v>Mayor</v>
      </c>
      <c r="M21" s="165">
        <f>IF(L21="","",IF(L21="Leve",0.2,IF(L21="Menor",0.4,IF(L21="Moderado",0.6,IF(L21="Mayor",0.8,IF(L21="Catastrófico",1,))))))</f>
        <v>0.8</v>
      </c>
      <c r="N21" s="168" t="str">
        <f>IF(OR(AND(H21="Muy Baja",L21="Leve"),AND(H21="Muy Baja",L21="Menor"),AND(H21="Baja",L21="Leve")),"Bajo",IF(OR(AND(H21="Muy baja",L21="Moderado"),AND(H21="Baja",L21="Menor"),AND(H21="Baja",L21="Moderado"),AND(H21="Media",L21="Leve"),AND(H21="Media",L21="Menor"),AND(H21="Media",L21="Moderado"),AND(H21="Alta",L21="Leve"),AND(H21="Alta",L21="Menor")),"Moderado",IF(OR(AND(H21="Muy Baja",L21="Mayor"),AND(H21="Baja",L21="Mayor"),AND(H21="Media",L21="Mayor"),AND(H21="Alta",L21="Moderado"),AND(H21="Alta",L21="Mayor"),AND(H21="Muy Alta",L21="Leve"),AND(H21="Muy Alta",L21="Menor"),AND(H21="Muy Alta",L21="Moderado"),AND(H21="Muy Alta",L21="Mayor")),"Alto",IF(OR(AND(H21="Muy Baja",L21="Catastrófico"),AND(H21="Baja",L21="Catastrófico"),AND(H21="Media",L21="Catastrófico"),AND(H21="Alta",L21="Catastrófico"),AND(H21="Muy Alta",L21="Catastrófico")),"Extremo",""))))</f>
        <v>Alto</v>
      </c>
      <c r="O21" s="106">
        <v>1</v>
      </c>
      <c r="P21" s="132" t="s">
        <v>247</v>
      </c>
      <c r="Q21" s="110" t="str">
        <f t="shared" si="0"/>
        <v>Probabilidad</v>
      </c>
      <c r="R21" s="108" t="s">
        <v>167</v>
      </c>
      <c r="S21" s="108" t="s">
        <v>175</v>
      </c>
      <c r="T21" s="111" t="str">
        <f t="shared" ref="T21:T23" si="9">IF(AND(R21="Preventivo",S21="Automático"),"50%",IF(AND(R21="Preventivo",S21="Manual"),"40%",IF(AND(R21="Detectivo",S21="Automático"),"40%",IF(AND(R21="Detectivo",S21="Manual"),"30%",IF(AND(R21="Correctivo",S21="Automático"),"35%",IF(AND(R21="Correctivo",S21="Manual"),"25%",""))))))</f>
        <v>40%</v>
      </c>
      <c r="U21" s="131" t="s">
        <v>178</v>
      </c>
      <c r="V21" s="131" t="s">
        <v>185</v>
      </c>
      <c r="W21" s="131" t="s">
        <v>187</v>
      </c>
      <c r="X21" s="112">
        <f>IFERROR(IF(Q21="Probabilidad",(I21-(+I21*T21)),IF(Q21="Impacto",I21,"")),"")</f>
        <v>0.48</v>
      </c>
      <c r="Y21" s="113" t="str">
        <f t="shared" si="2"/>
        <v>Media</v>
      </c>
      <c r="Z21" s="111">
        <f t="shared" si="3"/>
        <v>0.48</v>
      </c>
      <c r="AA21" s="113" t="str">
        <f t="shared" si="4"/>
        <v>Mayor</v>
      </c>
      <c r="AB21" s="111">
        <f>IFERROR(IF(Q21="Impacto",(M21-(+M21*T21)),IF(Q21="Probabilidad",M21,"")),"")</f>
        <v>0.8</v>
      </c>
      <c r="AC21" s="114" t="str">
        <f t="shared" si="5"/>
        <v>Alto</v>
      </c>
      <c r="AD21" s="191" t="str">
        <f>IFERROR(IF(OR(AND(AC21="Bajo",AC22="Bajo",AC23="Bajo"),AND(AC21="Bajo",AC22="Bajo",AC23=""),AND(AC21="Bajo",AC22="",AC23="")),"Bajo",IF(OR(AND(AC21="Bajo",AC22="Bajo",AC23="Moderado"),AND(AC21="Bajo",AC22="Moderado",AC23="Moderado"),AND(AC21="Moderado",AC22="Moderado",AC23="Moderado"),,AND(AC21="Moderado",AC22="Bajo",AC23="Bajo"),AND(AC21="Bajo",AC22="Moderado",AC23=""),AND(AC21="Moderado",AC22="Bajo",AC23=""),AND(AC21="Moderado",AC22="Moderado",AC23=""),AND(AC21="Moderado",AC22="",AC23="")),"Moderado",IF(OR(AND(AC21="Bajo",AC22="Bajo",AC23="Alto"),AND(AC21="Bajo",AC22="Moderado",AC23="Alto"),AND(AC21="Moderado",AC22="Bajo",AC23="Alto"),AND(AC21="Moderado",AC22="Alto",AC23="Bajo"),AND(AC21="Moderado",AC22="Moderado",AC23="Alto"),AND(AC21="Alto",AC22="Bajo",AC23="Bajo"),AND(AC21="Alto",AC22="Moderado",AC23="Bajo"),AND(AC21="Alto",AC22="Moderado",AC23="Moderado"),AND(AC21="Alto",AC22="Alto",AC23="Bajo"),AND(AC21="Alto",AC22="Alto",AC23="Moderado"),AND(AC21="Alto",AC22="Alto",AC23="Alto"),AND(AC21="Alto",AC22="Bajo",AC23=""),AND(AC21="Alto",AC22="Moderado",AC23=""),AND(AC21="Alto",AC22="Alto",AC23=""),AND(AC21="Bajo",AC22="Alto",AC23=""),AND(AC21="Moderado",AC22="Alto",AC23=""),AND(AC21="Alto",AC22="",AC23="")),"Alto",IF(OR(AND(AC21="Bajo",AC22="Bajo",AC23="Extremo"),AND(AC21="Bajo",AC22="Moderado",AC23="Extremo"),AND(AC21="Bajo",AC22="Alto",AC23="Extremo"),AND(AC21="Moderado",AC22="Bajo",AC23="Extremo"),AND(AC21="Moderado",AC22="Alto",AC23="Extremo"),AND(AC21="Moderado",AC22="Moderado",AC23="Extremo"),AND(AC21="Alto",AC22="Bajo",AC23="Extremo"),AND(AC21="Alto",AC22="Moderado",AC23="Extremo"),AND(AC21="Alto",AC22="Alto",AC23="Extremo"),AND(AC21="Extremo",AC22="Bajo",AC23="Bajo"),AND(AC21="Extremo",AC22="Bajo",AC23="Moderado"),AND(AC21="Extremo",AC22="Bajo",AC23="Alto"),AND(AC21="Extremo",AC22="Moderado",AC23="Bajo"),AND(AC21="Extremo",AC22="Moderado",AC23="Moderado"),AND(AC21="Extremo",AC22="Moderado",AC23="Alto"),AND(AC21="Extremo",AC22="Alto",AC23="Bajo"),AND(AC21="Extremo",AC22="Alto",AC23="Moderado"),AND(AC21="Extremo",AC22="Alto",AC23="Alto"),AND(AC21="Extremo",AC22="Extremo",AC23="Bajo"),AND(AC21="Extremo",AC22="Extremo",AC23="Moderado"),AND(AC21="Extremo",AC22="Extremo",AC23="Alto"),AND(AC21="Extremo",AC22="Extremo",AC23="Extremo"),AND(AC21="Extremo",AC22="Bajo",AC23=""),AND(AC21="Extremo",AC22="Moderado",AC23=""),AND(AC21="Extremo",AC22="Alto",AC23=""),AND(AC21="Extremo",AC22="",AC23="")),"Extremo")))),"")</f>
        <v>Alto</v>
      </c>
      <c r="AE21" s="134" t="s">
        <v>194</v>
      </c>
      <c r="AF21" s="107"/>
      <c r="AG21" s="107"/>
      <c r="AH21" s="109"/>
      <c r="AI21" s="109"/>
      <c r="AJ21" s="107"/>
      <c r="AK21" s="106"/>
    </row>
    <row r="22" spans="1:37" ht="0.75" customHeight="1" x14ac:dyDescent="0.2">
      <c r="A22" s="164"/>
      <c r="B22" s="171"/>
      <c r="C22" s="173"/>
      <c r="D22" s="173"/>
      <c r="E22" s="164"/>
      <c r="F22" s="164"/>
      <c r="G22" s="164"/>
      <c r="H22" s="166"/>
      <c r="I22" s="166"/>
      <c r="J22" s="164"/>
      <c r="K22" s="166"/>
      <c r="L22" s="166"/>
      <c r="M22" s="166"/>
      <c r="N22" s="166"/>
      <c r="O22" s="106">
        <v>2</v>
      </c>
      <c r="P22" s="130" t="s">
        <v>247</v>
      </c>
      <c r="Q22" s="110" t="str">
        <f t="shared" si="0"/>
        <v>Probabilidad</v>
      </c>
      <c r="R22" s="108" t="s">
        <v>167</v>
      </c>
      <c r="S22" s="108" t="s">
        <v>173</v>
      </c>
      <c r="T22" s="111" t="str">
        <f t="shared" si="9"/>
        <v>50%</v>
      </c>
      <c r="U22" s="131" t="s">
        <v>178</v>
      </c>
      <c r="V22" s="131" t="s">
        <v>183</v>
      </c>
      <c r="W22" s="131" t="s">
        <v>187</v>
      </c>
      <c r="X22" s="112">
        <f>IFERROR(IF(AND(Q21="Probabilidad",Q22="Probabilidad"),(Z21-(+Z21*T22)),IF(Q22="Probabilidad",(I21-(+I21*T22)),IF(Q22="Impacto",Z21,""))),"")</f>
        <v>0.24</v>
      </c>
      <c r="Y22" s="113" t="str">
        <f t="shared" si="2"/>
        <v>Baja</v>
      </c>
      <c r="Z22" s="111">
        <f t="shared" si="3"/>
        <v>0.24</v>
      </c>
      <c r="AA22" s="113" t="str">
        <f t="shared" si="4"/>
        <v>Mayor</v>
      </c>
      <c r="AB22" s="111">
        <f>IFERROR(IF(AND(Q21="Impacto",Q22="Impacto"),(AB21-(+AB21*T22)),IF(Q22="Impacto",($M$16-(+$M$16*T22)),IF(Q22="Probabilidad",AB21,""))),"")</f>
        <v>0.8</v>
      </c>
      <c r="AC22" s="114" t="str">
        <f t="shared" si="5"/>
        <v>Alto</v>
      </c>
      <c r="AD22" s="192"/>
      <c r="AE22" s="135"/>
      <c r="AF22" s="107"/>
      <c r="AG22" s="107"/>
      <c r="AH22" s="109"/>
      <c r="AI22" s="109"/>
      <c r="AJ22" s="107"/>
      <c r="AK22" s="106"/>
    </row>
    <row r="23" spans="1:37" ht="0.75" customHeight="1" x14ac:dyDescent="0.2">
      <c r="A23" s="164"/>
      <c r="B23" s="172"/>
      <c r="C23" s="173"/>
      <c r="D23" s="173"/>
      <c r="E23" s="164"/>
      <c r="F23" s="164"/>
      <c r="G23" s="164"/>
      <c r="H23" s="166"/>
      <c r="I23" s="166"/>
      <c r="J23" s="164"/>
      <c r="K23" s="166"/>
      <c r="L23" s="166"/>
      <c r="M23" s="166"/>
      <c r="N23" s="166"/>
      <c r="O23" s="106">
        <v>3</v>
      </c>
      <c r="P23" s="130"/>
      <c r="Q23" s="110" t="str">
        <f t="shared" si="0"/>
        <v/>
      </c>
      <c r="R23" s="108"/>
      <c r="S23" s="108"/>
      <c r="T23" s="111" t="str">
        <f t="shared" si="9"/>
        <v/>
      </c>
      <c r="U23" s="131"/>
      <c r="V23" s="131"/>
      <c r="W23" s="131"/>
      <c r="X23" s="112" t="str">
        <f>IFERROR(IF(AND(Q22="Probabilidad",Q23="Probabilidad"),(Z22-(+Z22*T23)),IF(AND(Q22="Impacto",Q23="Probabilidad"),(Z21-(+Z21*T23)),IF(Q23="Impacto",Z22,""))),"")</f>
        <v/>
      </c>
      <c r="Y23" s="113" t="str">
        <f t="shared" si="2"/>
        <v/>
      </c>
      <c r="Z23" s="111" t="str">
        <f t="shared" si="3"/>
        <v/>
      </c>
      <c r="AA23" s="113" t="str">
        <f t="shared" si="4"/>
        <v/>
      </c>
      <c r="AB23" s="111" t="str">
        <f>IFERROR(IF(AND(Q22="Impacto",Q23="Impacto"),(AB22-(+AB22*T23)),IF(AND(Q22="Probabilidad",Q23="Impacto"),(AB21-(+AB21*T23)),IF(Q23="Probabilidad",AB22,""))),"")</f>
        <v/>
      </c>
      <c r="AC23" s="114" t="str">
        <f t="shared" si="5"/>
        <v/>
      </c>
      <c r="AD23" s="193"/>
      <c r="AE23" s="136"/>
      <c r="AF23" s="107"/>
      <c r="AG23" s="107"/>
      <c r="AH23" s="109"/>
      <c r="AI23" s="109"/>
      <c r="AJ23" s="107"/>
      <c r="AK23" s="106"/>
    </row>
    <row r="24" spans="1:37" ht="16.5" hidden="1" customHeight="1" x14ac:dyDescent="0.2">
      <c r="A24" s="115"/>
      <c r="B24" s="124"/>
      <c r="C24" s="124"/>
      <c r="D24" s="124"/>
      <c r="E24" s="124"/>
      <c r="F24" s="124"/>
      <c r="G24" s="129"/>
      <c r="H24" s="127" t="str">
        <f>IF(G24&lt;=0,"",IF(G24&lt;=2,"Muy Baja",IF(G24&lt;=24,"Baja",IF(G24&lt;=500,"Media",IF(G24&lt;=5000,"Alta","Muy Alta")))))</f>
        <v/>
      </c>
      <c r="I24" s="126" t="str">
        <f>IF(H24="","",IF(H24="Muy Baja",0.2,IF(H24="Baja",0.4,IF(H24="Media",0.6,IF(H24="Alta",0.8,IF(H24="Muy Alta",1,))))))</f>
        <v/>
      </c>
      <c r="J24" s="125"/>
      <c r="K24" s="126">
        <f ca="1">IF(NOT(ISERROR(MATCH(J24,'Tabla Impacto'!$B$221:$B$223,0))),'Tabla Impacto'!$F$223&amp;"Por favor no seleccionar los criterios de impacto(Afectación Económica o presupuestal y Pérdida Reputacional)",J24)</f>
        <v>0</v>
      </c>
      <c r="L24" s="127" t="str">
        <f ca="1">IF(OR(K24='Tabla Impacto'!$C$11,K24='Tabla Impacto'!$D$11),"Leve",IF(OR(K24='Tabla Impacto'!$C$12,K24='Tabla Impacto'!$D$12),"Menor",IF(OR(K24='Tabla Impacto'!$C$13,K24='Tabla Impacto'!$D$13),"Moderado",IF(OR(K24='Tabla Impacto'!$C$14,K24='Tabla Impacto'!$D$14),"Mayor",IF(OR(K24='Tabla Impacto'!$C$15,K24='Tabla Impacto'!$D$15),"Catastrófico","")))))</f>
        <v/>
      </c>
      <c r="M24" s="126" t="str">
        <f ca="1">IF(L24="","",IF(L24="Leve",0.2,IF(L24="Menor",0.4,IF(L24="Moderado",0.6,IF(L24="Mayor",0.8,IF(L24="Catastrófico",1,))))))</f>
        <v/>
      </c>
      <c r="N24" s="128" t="str">
        <f ca="1">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
      </c>
      <c r="O24" s="106"/>
      <c r="P24" s="130"/>
      <c r="Q24" s="110" t="str">
        <f t="shared" si="0"/>
        <v/>
      </c>
      <c r="R24" s="108"/>
      <c r="S24" s="108"/>
      <c r="T24" s="111"/>
      <c r="U24" s="108"/>
      <c r="V24" s="108"/>
      <c r="W24" s="108"/>
      <c r="X24" s="112" t="str">
        <f t="shared" si="7"/>
        <v/>
      </c>
      <c r="Y24" s="113" t="str">
        <f t="shared" si="2"/>
        <v/>
      </c>
      <c r="Z24" s="111" t="str">
        <f t="shared" si="3"/>
        <v/>
      </c>
      <c r="AA24" s="113" t="str">
        <f t="shared" si="4"/>
        <v/>
      </c>
      <c r="AB24" s="111" t="str">
        <f t="shared" si="8"/>
        <v/>
      </c>
      <c r="AC24" s="114" t="str">
        <f t="shared" si="5"/>
        <v/>
      </c>
      <c r="AD24" s="123"/>
      <c r="AE24" s="108"/>
      <c r="AF24" s="107"/>
      <c r="AG24" s="107"/>
      <c r="AH24" s="109"/>
      <c r="AI24" s="109"/>
      <c r="AJ24" s="107"/>
      <c r="AK24" s="106"/>
    </row>
    <row r="25" spans="1:37" ht="16.5" hidden="1" customHeight="1" x14ac:dyDescent="0.2">
      <c r="A25" s="115"/>
      <c r="B25" s="124"/>
      <c r="C25" s="124"/>
      <c r="D25" s="124"/>
      <c r="E25" s="124"/>
      <c r="F25" s="124"/>
      <c r="G25" s="129"/>
      <c r="H25" s="127" t="str">
        <f>IF(G25&lt;=0,"",IF(G25&lt;=2,"Muy Baja",IF(G25&lt;=24,"Baja",IF(G25&lt;=500,"Media",IF(G25&lt;=5000,"Alta","Muy Alta")))))</f>
        <v/>
      </c>
      <c r="I25" s="126" t="str">
        <f>IF(H25="","",IF(H25="Muy Baja",0.2,IF(H25="Baja",0.4,IF(H25="Media",0.6,IF(H25="Alta",0.8,IF(H25="Muy Alta",1,))))))</f>
        <v/>
      </c>
      <c r="J25" s="125"/>
      <c r="K25" s="126">
        <f ca="1">IF(NOT(ISERROR(MATCH(J25,'Tabla Impacto'!$B$221:$B$223,0))),'Tabla Impacto'!$F$223&amp;"Por favor no seleccionar los criterios de impacto(Afectación Económica o presupuestal y Pérdida Reputacional)",J25)</f>
        <v>0</v>
      </c>
      <c r="L25" s="127" t="str">
        <f ca="1">IF(OR(K25='Tabla Impacto'!$C$11,K25='Tabla Impacto'!$D$11),"Leve",IF(OR(K25='Tabla Impacto'!$C$12,K25='Tabla Impacto'!$D$12),"Menor",IF(OR(K25='Tabla Impacto'!$C$13,K25='Tabla Impacto'!$D$13),"Moderado",IF(OR(K25='Tabla Impacto'!$C$14,K25='Tabla Impacto'!$D$14),"Mayor",IF(OR(K25='Tabla Impacto'!$C$15,K25='Tabla Impacto'!$D$15),"Catastrófico","")))))</f>
        <v/>
      </c>
      <c r="M25" s="126" t="str">
        <f ca="1">IF(L25="","",IF(L25="Leve",0.2,IF(L25="Menor",0.4,IF(L25="Moderado",0.6,IF(L25="Mayor",0.8,IF(L25="Catastrófico",1,))))))</f>
        <v/>
      </c>
      <c r="N25" s="128" t="str">
        <f ca="1">IF(OR(AND(H25="Muy Baja",L25="Leve"),AND(H25="Muy Baja",L25="Menor"),AND(H25="Baja",L25="Leve")),"Bajo",IF(OR(AND(H25="Muy baja",L25="Moderado"),AND(H25="Baja",L25="Menor"),AND(H25="Baja",L25="Moderado"),AND(H25="Media",L25="Leve"),AND(H25="Media",L25="Menor"),AND(H25="Media",L25="Moderado"),AND(H25="Alta",L25="Leve"),AND(H25="Alta",L25="Menor")),"Moderado",IF(OR(AND(H25="Muy Baja",L25="Mayor"),AND(H25="Baja",L25="Mayor"),AND(H25="Media",L25="Mayor"),AND(H25="Alta",L25="Moderado"),AND(H25="Alta",L25="Mayor"),AND(H25="Muy Alta",L25="Leve"),AND(H25="Muy Alta",L25="Menor"),AND(H25="Muy Alta",L25="Moderado"),AND(H25="Muy Alta",L25="Mayor")),"Alto",IF(OR(AND(H25="Muy Baja",L25="Catastrófico"),AND(H25="Baja",L25="Catastrófico"),AND(H25="Media",L25="Catastrófico"),AND(H25="Alta",L25="Catastrófico"),AND(H25="Muy Alta",L25="Catastrófico")),"Extremo",""))))</f>
        <v/>
      </c>
      <c r="O25" s="106"/>
      <c r="P25" s="130"/>
      <c r="Q25" s="110" t="str">
        <f t="shared" si="0"/>
        <v/>
      </c>
      <c r="R25" s="108"/>
      <c r="S25" s="108"/>
      <c r="T25" s="111"/>
      <c r="U25" s="108"/>
      <c r="V25" s="108"/>
      <c r="W25" s="108"/>
      <c r="X25" s="112" t="str">
        <f t="shared" si="7"/>
        <v/>
      </c>
      <c r="Y25" s="113" t="str">
        <f t="shared" si="2"/>
        <v/>
      </c>
      <c r="Z25" s="111" t="str">
        <f t="shared" si="3"/>
        <v/>
      </c>
      <c r="AA25" s="113" t="str">
        <f t="shared" si="4"/>
        <v/>
      </c>
      <c r="AB25" s="111" t="str">
        <f t="shared" si="8"/>
        <v/>
      </c>
      <c r="AC25" s="114" t="str">
        <f t="shared" si="5"/>
        <v/>
      </c>
      <c r="AD25" s="121"/>
      <c r="AE25" s="108"/>
      <c r="AF25" s="107"/>
      <c r="AG25" s="107"/>
      <c r="AH25" s="109"/>
      <c r="AI25" s="109"/>
      <c r="AJ25" s="107"/>
      <c r="AK25" s="106"/>
    </row>
    <row r="26" spans="1:37" ht="48" customHeight="1" x14ac:dyDescent="0.2">
      <c r="A26" s="169">
        <v>2</v>
      </c>
      <c r="B26" s="170" t="s">
        <v>197</v>
      </c>
      <c r="C26" s="173" t="s">
        <v>253</v>
      </c>
      <c r="D26" s="173" t="s">
        <v>254</v>
      </c>
      <c r="E26" s="173" t="s">
        <v>255</v>
      </c>
      <c r="F26" s="173" t="s">
        <v>203</v>
      </c>
      <c r="G26" s="169">
        <v>72</v>
      </c>
      <c r="H26" s="167" t="str">
        <f>IF(G26&lt;=0,"",IF(G26&lt;=2,"Muy Baja",IF(G26&lt;=24,"Baja",IF(G26&lt;=500,"Media",IF(G26&lt;=5000,"Alta","Muy Alta")))))</f>
        <v>Media</v>
      </c>
      <c r="I26" s="165">
        <f>IF(H26="","",IF(H26="Muy Baja",0.2,IF(H26="Baja",0.4,IF(H26="Media",0.6,IF(H26="Alta",0.8,IF(H26="Muy Alta",1,))))))</f>
        <v>0.6</v>
      </c>
      <c r="J26" s="163" t="s">
        <v>153</v>
      </c>
      <c r="K26" s="165" t="str">
        <f>IF(NOT(ISERROR(MATCH(J26,'[1]Tabla Impacto'!$B$221:$B$223,0))),'[1]Tabla Impacto'!$F$223&amp;"Por favor no seleccionar los criterios de impacto(Afectación Económica o presupuestal y Pérdida Reputacional)",J26)</f>
        <v xml:space="preserve">     El riesgo afecta la imagen de de la entidad con efecto publicitario sostenido a nivel de sector administrativo, nivel departamental o municipal</v>
      </c>
      <c r="L26" s="167" t="str">
        <f>IF(OR(K26='[1]Tabla Impacto'!$C$11,K26='[1]Tabla Impacto'!$D$11),"Leve",IF(OR(K26='[1]Tabla Impacto'!$C$12,K26='[1]Tabla Impacto'!$D$12),"Menor",IF(OR(K26='[1]Tabla Impacto'!$C$13,K26='[1]Tabla Impacto'!$D$13),"Moderado",IF(OR(K26='[1]Tabla Impacto'!$C$14,K26='[1]Tabla Impacto'!$D$14),"Mayor",IF(OR(K26='[1]Tabla Impacto'!$C$15,K26='[1]Tabla Impacto'!$D$15),"Catastrófico","")))))</f>
        <v>Mayor</v>
      </c>
      <c r="M26" s="165">
        <f>IF(L26="","",IF(L26="Leve",0.2,IF(L26="Menor",0.4,IF(L26="Moderado",0.6,IF(L26="Mayor",0.8,IF(L26="Catastrófico",1,))))))</f>
        <v>0.8</v>
      </c>
      <c r="N26" s="168" t="str">
        <f>IF(OR(AND(H26="Muy Baja",L26="Leve"),AND(H26="Muy Baja",L26="Menor"),AND(H26="Baja",L26="Leve")),"Bajo",IF(OR(AND(H26="Muy baja",L26="Moderado"),AND(H26="Baja",L26="Menor"),AND(H26="Baja",L26="Moderado"),AND(H26="Media",L26="Leve"),AND(H26="Media",L26="Menor"),AND(H26="Media",L26="Moderado"),AND(H26="Alta",L26="Leve"),AND(H26="Alta",L26="Menor")),"Moderado",IF(OR(AND(H26="Muy Baja",L26="Mayor"),AND(H26="Baja",L26="Mayor"),AND(H26="Media",L26="Mayor"),AND(H26="Alta",L26="Moderado"),AND(H26="Alta",L26="Mayor"),AND(H26="Muy Alta",L26="Leve"),AND(H26="Muy Alta",L26="Menor"),AND(H26="Muy Alta",L26="Moderado"),AND(H26="Muy Alta",L26="Mayor")),"Alto",IF(OR(AND(H26="Muy Baja",L26="Catastrófico"),AND(H26="Baja",L26="Catastrófico"),AND(H26="Media",L26="Catastrófico"),AND(H26="Alta",L26="Catastrófico"),AND(H26="Muy Alta",L26="Catastrófico")),"Extremo",""))))</f>
        <v>Alto</v>
      </c>
      <c r="O26" s="106">
        <v>1</v>
      </c>
      <c r="P26" s="130" t="s">
        <v>256</v>
      </c>
      <c r="Q26" s="110" t="str">
        <f t="shared" si="0"/>
        <v>Probabilidad</v>
      </c>
      <c r="R26" s="108" t="s">
        <v>169</v>
      </c>
      <c r="S26" s="108" t="s">
        <v>175</v>
      </c>
      <c r="T26" s="111" t="str">
        <f t="shared" ref="T26:T28" si="10">IF(AND(R26="Preventivo",S26="Automático"),"50%",IF(AND(R26="Preventivo",S26="Manual"),"40%",IF(AND(R26="Detectivo",S26="Automático"),"40%",IF(AND(R26="Detectivo",S26="Manual"),"30%",IF(AND(R26="Correctivo",S26="Automático"),"35%",IF(AND(R26="Correctivo",S26="Manual"),"25%",""))))))</f>
        <v>30%</v>
      </c>
      <c r="U26" s="131" t="s">
        <v>178</v>
      </c>
      <c r="V26" s="131" t="s">
        <v>185</v>
      </c>
      <c r="W26" s="131" t="s">
        <v>187</v>
      </c>
      <c r="X26" s="112">
        <f>IFERROR(IF(Q26="Probabilidad",(I26-(+I26*T26)),IF(Q26="Impacto",I26,"")),"")</f>
        <v>0.42</v>
      </c>
      <c r="Y26" s="113" t="str">
        <f t="shared" si="2"/>
        <v>Media</v>
      </c>
      <c r="Z26" s="111">
        <f t="shared" si="3"/>
        <v>0.42</v>
      </c>
      <c r="AA26" s="113" t="str">
        <f t="shared" si="4"/>
        <v>Mayor</v>
      </c>
      <c r="AB26" s="111">
        <f>IFERROR(IF(Q26="Impacto",(M26-(+M26*T26)),IF(Q26="Probabilidad",M26,"")),"")</f>
        <v>0.8</v>
      </c>
      <c r="AC26" s="114" t="str">
        <f t="shared" si="5"/>
        <v>Alto</v>
      </c>
      <c r="AD26" s="191" t="str">
        <f>IFERROR(IF(OR(AND(AC26="Bajo",AC27="Bajo",AC28="Bajo"),AND(AC26="Bajo",AC27="Bajo",AC28=""),AND(AC26="Bajo",AC27="",AC28="")),"Bajo",IF(OR(AND(AC26="Bajo",AC27="Bajo",AC28="Moderado"),AND(AC26="Bajo",AC27="Moderado",AC28="Moderado"),AND(AC26="Moderado",AC27="Moderado",AC28="Moderado"),AND(AC26="Bajo",AC27="Moderado",AC28=""),AND(AC26="Moderado",AC27="Bajo",AC28=""),AND(AC26="Moderado",AC27="Moderado",AC28=""),AND(AC26="Moderado",AC27="",AC28="")),"Moderado",IF(OR(AND(AC26="Bajo",AC27="Bajo",AC28="Alto"),AND(AC26="Bajo",AC27="Moderado",AC28="Alto"),AND(AC26="Moderado",AC27="Bajo",AC28="Alto"),AND(AC26="Moderado",AC27="Alto",AC28="Bajo"),AND(AC26="Moderado",AC27="Moderado",AC28="Alto"),AND(AC26="Alto",AC27="Bajo",AC28="Bajo"),AND(AC26="Alto",AC27="Moderado",AC28="Bajo"),AND(AC26="Alto",AC27="Moderado",AC28="Moderado"),AND(AC26="Alto",AC27="Alto",AC28="Bajo"),AND(AC26="Alto",AC27="Alto",AC28="Moderado"),AND(AC26="Alto",AC27="Alto",AC28="Alto"),AND(AC26="Alto",AC27="Bajo",AC28=""),AND(AC26="Alto",AC27="Moderado",AC28=""),AND(AC26="Alto",AC27="Alto",AC28=""),AND(AC26="Bajo",AC27="Alto",AC28=""),AND(AC26="Moderado",AC27="Alto",AC28=""),AND(AC26="Alto",AC27="",AC28="")),"Alto",IF(OR(AND(AC26="Bajo",AC27="Bajo",AC28="Extremo"),AND(AC26="Bajo",AC27="Moderado",AC28="Extremo"),AND(AC26="Bajo",AC27="Alto",AC28="Extremo"),AND(AC26="Moderado",AC27="Bajo",AC28="Extremo"),AND(AC26="Moderado",AC27="Alto",AC28="Extremo"),AND(AC26="Moderado",AC27="Moderado",AC28="Extremo"),AND(AC26="Alto",AC27="Bajo",AC28="Extremo"),AND(AC26="Alto",AC27="Moderado",AC28="Extremo"),AND(AC26="Alto",AC27="Alto",AC28="Extremo"),AND(AC26="Extremo",AC27="Bajo",AC28="Bajo"),AND(AC26="Extremo",AC27="Bajo",AC28="Moderado"),AND(AC26="Extremo",AC27="Bajo",AC28="Alto"),AND(AC26="Extremo",AC27="Moderado",AC28="Bajo"),AND(AC26="Extremo",AC27="Moderado",AC28="Moderado"),AND(AC26="Extremo",AC27="Moderado",AC28="Alto"),AND(AC26="Extremo",AC27="Alto",AC28="Bajo"),AND(AC26="Extremo",AC27="Alto",AC28="Moderado"),AND(AC26="Extremo",AC27="Alto",AC28="Alto"),AND(AC26="Extremo",AC27="Extremo",AC28="Bajo"),AND(AC26="Extremo",AC27="Extremo",AC28="Moderado"),AND(AC26="Extremo",AC27="Extremo",AC28="Alto"),AND(AC26="Extremo",AC27="Extremo",AC28="Extremo"),AND(AC26="Extremo",AC27="Bajo",AC28=""),AND(AC26="Extremo",AC27="Moderado",AC28=""),AND(AC26="Extremo",AC27="Alto",AC28=""),AND(AC26="Extremo",AC27="",AC28="")),"Extremo")))),"")</f>
        <v>Alto</v>
      </c>
      <c r="AE26" s="134" t="s">
        <v>198</v>
      </c>
      <c r="AF26" s="107"/>
      <c r="AG26" s="107"/>
      <c r="AH26" s="109"/>
      <c r="AI26" s="109"/>
      <c r="AJ26" s="107"/>
      <c r="AK26" s="106"/>
    </row>
    <row r="27" spans="1:37" ht="31.5" customHeight="1" x14ac:dyDescent="0.2">
      <c r="A27" s="164"/>
      <c r="B27" s="171"/>
      <c r="C27" s="173"/>
      <c r="D27" s="173"/>
      <c r="E27" s="164"/>
      <c r="F27" s="164"/>
      <c r="G27" s="164"/>
      <c r="H27" s="166"/>
      <c r="I27" s="166"/>
      <c r="J27" s="164"/>
      <c r="K27" s="166"/>
      <c r="L27" s="166"/>
      <c r="M27" s="166"/>
      <c r="N27" s="166"/>
      <c r="O27" s="106">
        <v>2</v>
      </c>
      <c r="P27" s="130" t="s">
        <v>257</v>
      </c>
      <c r="Q27" s="110" t="str">
        <f t="shared" si="0"/>
        <v>Probabilidad</v>
      </c>
      <c r="R27" s="108" t="s">
        <v>167</v>
      </c>
      <c r="S27" s="108" t="s">
        <v>173</v>
      </c>
      <c r="T27" s="111" t="str">
        <f t="shared" si="10"/>
        <v>50%</v>
      </c>
      <c r="U27" s="131" t="s">
        <v>178</v>
      </c>
      <c r="V27" s="131" t="s">
        <v>185</v>
      </c>
      <c r="W27" s="131" t="s">
        <v>187</v>
      </c>
      <c r="X27" s="112">
        <f>IFERROR(IF(AND(Q26="Probabilidad",Q27="Probabilidad"),(Z26-(+Z26*T27)),IF(Q27="Probabilidad",(I26-(+I26*T27)),IF(Q27="Impacto",Z26,""))),"")</f>
        <v>0.21</v>
      </c>
      <c r="Y27" s="113" t="str">
        <f t="shared" si="2"/>
        <v>Baja</v>
      </c>
      <c r="Z27" s="111">
        <f t="shared" si="3"/>
        <v>0.21</v>
      </c>
      <c r="AA27" s="113" t="str">
        <f t="shared" si="4"/>
        <v>Mayor</v>
      </c>
      <c r="AB27" s="111">
        <f>IFERROR(IF(AND(Q26="Impacto",Q27="Impacto"),(AB26-(+AB26*T27)),IF(Q27="Impacto",($M$16-(+$M$16*T27)),IF(Q27="Probabilidad",AB26,""))),"")</f>
        <v>0.8</v>
      </c>
      <c r="AC27" s="114" t="str">
        <f t="shared" si="5"/>
        <v>Alto</v>
      </c>
      <c r="AD27" s="192"/>
      <c r="AE27" s="135"/>
      <c r="AF27" s="107"/>
      <c r="AG27" s="107"/>
      <c r="AH27" s="109"/>
      <c r="AI27" s="109"/>
      <c r="AJ27" s="107"/>
      <c r="AK27" s="106"/>
    </row>
    <row r="28" spans="1:37" ht="41.25" customHeight="1" x14ac:dyDescent="0.2">
      <c r="A28" s="164"/>
      <c r="B28" s="172"/>
      <c r="C28" s="173"/>
      <c r="D28" s="173"/>
      <c r="E28" s="164"/>
      <c r="F28" s="164"/>
      <c r="G28" s="164"/>
      <c r="H28" s="166"/>
      <c r="I28" s="166"/>
      <c r="J28" s="164"/>
      <c r="K28" s="166"/>
      <c r="L28" s="166"/>
      <c r="M28" s="166"/>
      <c r="N28" s="166"/>
      <c r="O28" s="106">
        <v>3</v>
      </c>
      <c r="P28" s="130"/>
      <c r="Q28" s="110" t="str">
        <f t="shared" si="0"/>
        <v/>
      </c>
      <c r="R28" s="108"/>
      <c r="S28" s="108"/>
      <c r="T28" s="111" t="str">
        <f t="shared" si="10"/>
        <v/>
      </c>
      <c r="U28" s="131"/>
      <c r="V28" s="131"/>
      <c r="W28" s="131"/>
      <c r="X28" s="112" t="str">
        <f>IFERROR(IF(AND(Q27="Probabilidad",Q28="Probabilidad"),(Z27-(+Z27*T28)),IF(AND(Q27="Impacto",Q28="Probabilidad"),(Z26-(+Z26*T28)),IF(Q28="Impacto",Z27,""))),"")</f>
        <v/>
      </c>
      <c r="Y28" s="113" t="str">
        <f t="shared" si="2"/>
        <v/>
      </c>
      <c r="Z28" s="111" t="str">
        <f t="shared" si="3"/>
        <v/>
      </c>
      <c r="AA28" s="113" t="str">
        <f t="shared" si="4"/>
        <v/>
      </c>
      <c r="AB28" s="111" t="str">
        <f>IFERROR(IF(AND(Q27="Impacto",Q28="Impacto"),(AB27-(+AB27*T28)),IF(AND(Q27="Probabilidad",Q28="Impacto"),(AB26-(+AB26*T28)),IF(Q28="Probabilidad",AB27,""))),"")</f>
        <v/>
      </c>
      <c r="AC28" s="114" t="str">
        <f t="shared" si="5"/>
        <v/>
      </c>
      <c r="AD28" s="193"/>
      <c r="AE28" s="136"/>
      <c r="AF28" s="107"/>
      <c r="AG28" s="107"/>
      <c r="AH28" s="109"/>
      <c r="AI28" s="109"/>
      <c r="AJ28" s="107"/>
      <c r="AK28" s="106"/>
    </row>
    <row r="29" spans="1:37" ht="16.5" hidden="1" customHeight="1" x14ac:dyDescent="0.2">
      <c r="A29" s="115"/>
      <c r="B29" s="124"/>
      <c r="C29" s="124"/>
      <c r="D29" s="124"/>
      <c r="E29" s="124"/>
      <c r="F29" s="124"/>
      <c r="G29" s="129"/>
      <c r="H29" s="127" t="str">
        <f>IF(G29&lt;=0,"",IF(G29&lt;=2,"Muy Baja",IF(G29&lt;=24,"Baja",IF(G29&lt;=500,"Media",IF(G29&lt;=5000,"Alta","Muy Alta")))))</f>
        <v/>
      </c>
      <c r="I29" s="126" t="str">
        <f>IF(H29="","",IF(H29="Muy Baja",0.2,IF(H29="Baja",0.4,IF(H29="Media",0.6,IF(H29="Alta",0.8,IF(H29="Muy Alta",1,))))))</f>
        <v/>
      </c>
      <c r="J29" s="125"/>
      <c r="K29" s="126">
        <f ca="1">IF(NOT(ISERROR(MATCH(J29,'Tabla Impacto'!$B$221:$B$223,0))),'Tabla Impacto'!$F$223&amp;"Por favor no seleccionar los criterios de impacto(Afectación Económica o presupuestal y Pérdida Reputacional)",J29)</f>
        <v>0</v>
      </c>
      <c r="L29" s="127" t="str">
        <f ca="1">IF(OR(K29='Tabla Impacto'!$C$11,K29='Tabla Impacto'!$D$11),"Leve",IF(OR(K29='Tabla Impacto'!$C$12,K29='Tabla Impacto'!$D$12),"Menor",IF(OR(K29='Tabla Impacto'!$C$13,K29='Tabla Impacto'!$D$13),"Moderado",IF(OR(K29='Tabla Impacto'!$C$14,K29='Tabla Impacto'!$D$14),"Mayor",IF(OR(K29='Tabla Impacto'!$C$15,K29='Tabla Impacto'!$D$15),"Catastrófico","")))))</f>
        <v/>
      </c>
      <c r="M29" s="126" t="str">
        <f ca="1">IF(L29="","",IF(L29="Leve",0.2,IF(L29="Menor",0.4,IF(L29="Moderado",0.6,IF(L29="Mayor",0.8,IF(L29="Catastrófico",1,))))))</f>
        <v/>
      </c>
      <c r="N29" s="128" t="str">
        <f ca="1">IF(OR(AND(H29="Muy Baja",L29="Leve"),AND(H29="Muy Baja",L29="Menor"),AND(H29="Baja",L29="Leve")),"Bajo",IF(OR(AND(H29="Muy baja",L29="Moderado"),AND(H29="Baja",L29="Menor"),AND(H29="Baja",L29="Moderado"),AND(H29="Media",L29="Leve"),AND(H29="Media",L29="Menor"),AND(H29="Media",L29="Moderado"),AND(H29="Alta",L29="Leve"),AND(H29="Alta",L29="Menor")),"Moderado",IF(OR(AND(H29="Muy Baja",L29="Mayor"),AND(H29="Baja",L29="Mayor"),AND(H29="Media",L29="Mayor"),AND(H29="Alta",L29="Moderado"),AND(H29="Alta",L29="Mayor"),AND(H29="Muy Alta",L29="Leve"),AND(H29="Muy Alta",L29="Menor"),AND(H29="Muy Alta",L29="Moderado"),AND(H29="Muy Alta",L29="Mayor")),"Alto",IF(OR(AND(H29="Muy Baja",L29="Catastrófico"),AND(H29="Baja",L29="Catastrófico"),AND(H29="Media",L29="Catastrófico"),AND(H29="Alta",L29="Catastrófico"),AND(H29="Muy Alta",L29="Catastrófico")),"Extremo",""))))</f>
        <v/>
      </c>
      <c r="O29" s="106"/>
      <c r="P29" s="130"/>
      <c r="Q29" s="110" t="str">
        <f t="shared" si="0"/>
        <v/>
      </c>
      <c r="R29" s="108"/>
      <c r="S29" s="108"/>
      <c r="T29" s="111" t="str">
        <f t="shared" si="1"/>
        <v/>
      </c>
      <c r="U29" s="108"/>
      <c r="V29" s="108"/>
      <c r="W29" s="108"/>
      <c r="X29" s="112" t="str">
        <f t="shared" si="7"/>
        <v/>
      </c>
      <c r="Y29" s="113" t="str">
        <f t="shared" si="2"/>
        <v/>
      </c>
      <c r="Z29" s="111" t="str">
        <f t="shared" si="3"/>
        <v/>
      </c>
      <c r="AA29" s="113" t="str">
        <f t="shared" si="4"/>
        <v/>
      </c>
      <c r="AB29" s="111" t="str">
        <f t="shared" si="8"/>
        <v/>
      </c>
      <c r="AC29" s="114" t="str">
        <f t="shared" si="5"/>
        <v/>
      </c>
      <c r="AD29" s="123"/>
      <c r="AE29" s="108"/>
      <c r="AF29" s="107"/>
      <c r="AG29" s="107"/>
      <c r="AH29" s="109"/>
      <c r="AI29" s="109"/>
      <c r="AJ29" s="107"/>
      <c r="AK29" s="106"/>
    </row>
    <row r="30" spans="1:37" ht="16.5" hidden="1" customHeight="1" x14ac:dyDescent="0.2">
      <c r="A30" s="115"/>
      <c r="B30" s="124"/>
      <c r="C30" s="124"/>
      <c r="D30" s="124"/>
      <c r="E30" s="124"/>
      <c r="F30" s="124"/>
      <c r="G30" s="129"/>
      <c r="H30" s="127" t="str">
        <f>IF(G30&lt;=0,"",IF(G30&lt;=2,"Muy Baja",IF(G30&lt;=24,"Baja",IF(G30&lt;=500,"Media",IF(G30&lt;=5000,"Alta","Muy Alta")))))</f>
        <v/>
      </c>
      <c r="I30" s="126" t="str">
        <f>IF(H30="","",IF(H30="Muy Baja",0.2,IF(H30="Baja",0.4,IF(H30="Media",0.6,IF(H30="Alta",0.8,IF(H30="Muy Alta",1,))))))</f>
        <v/>
      </c>
      <c r="J30" s="125"/>
      <c r="K30" s="126">
        <f ca="1">IF(NOT(ISERROR(MATCH(J30,'Tabla Impacto'!$B$221:$B$223,0))),'Tabla Impacto'!$F$223&amp;"Por favor no seleccionar los criterios de impacto(Afectación Económica o presupuestal y Pérdida Reputacional)",J30)</f>
        <v>0</v>
      </c>
      <c r="L30" s="127" t="str">
        <f ca="1">IF(OR(K30='Tabla Impacto'!$C$11,K30='Tabla Impacto'!$D$11),"Leve",IF(OR(K30='Tabla Impacto'!$C$12,K30='Tabla Impacto'!$D$12),"Menor",IF(OR(K30='Tabla Impacto'!$C$13,K30='Tabla Impacto'!$D$13),"Moderado",IF(OR(K30='Tabla Impacto'!$C$14,K30='Tabla Impacto'!$D$14),"Mayor",IF(OR(K30='Tabla Impacto'!$C$15,K30='Tabla Impacto'!$D$15),"Catastrófico","")))))</f>
        <v/>
      </c>
      <c r="M30" s="126" t="str">
        <f ca="1">IF(L30="","",IF(L30="Leve",0.2,IF(L30="Menor",0.4,IF(L30="Moderado",0.6,IF(L30="Mayor",0.8,IF(L30="Catastrófico",1,))))))</f>
        <v/>
      </c>
      <c r="N30" s="128" t="str">
        <f ca="1">IF(OR(AND(H30="Muy Baja",L30="Leve"),AND(H30="Muy Baja",L30="Menor"),AND(H30="Baja",L30="Leve")),"Bajo",IF(OR(AND(H30="Muy baja",L30="Moderado"),AND(H30="Baja",L30="Menor"),AND(H30="Baja",L30="Moderado"),AND(H30="Media",L30="Leve"),AND(H30="Media",L30="Menor"),AND(H30="Media",L30="Moderado"),AND(H30="Alta",L30="Leve"),AND(H30="Alta",L30="Menor")),"Moderado",IF(OR(AND(H30="Muy Baja",L30="Mayor"),AND(H30="Baja",L30="Mayor"),AND(H30="Media",L30="Mayor"),AND(H30="Alta",L30="Moderado"),AND(H30="Alta",L30="Mayor"),AND(H30="Muy Alta",L30="Leve"),AND(H30="Muy Alta",L30="Menor"),AND(H30="Muy Alta",L30="Moderado"),AND(H30="Muy Alta",L30="Mayor")),"Alto",IF(OR(AND(H30="Muy Baja",L30="Catastrófico"),AND(H30="Baja",L30="Catastrófico"),AND(H30="Media",L30="Catastrófico"),AND(H30="Alta",L30="Catastrófico"),AND(H30="Muy Alta",L30="Catastrófico")),"Extremo",""))))</f>
        <v/>
      </c>
      <c r="O30" s="106"/>
      <c r="P30" s="130"/>
      <c r="Q30" s="110" t="str">
        <f t="shared" si="0"/>
        <v/>
      </c>
      <c r="R30" s="108"/>
      <c r="S30" s="108"/>
      <c r="T30" s="111" t="str">
        <f t="shared" si="1"/>
        <v/>
      </c>
      <c r="U30" s="108"/>
      <c r="V30" s="108"/>
      <c r="W30" s="108"/>
      <c r="X30" s="112" t="str">
        <f t="shared" si="7"/>
        <v/>
      </c>
      <c r="Y30" s="113" t="str">
        <f t="shared" si="2"/>
        <v/>
      </c>
      <c r="Z30" s="111" t="str">
        <f t="shared" si="3"/>
        <v/>
      </c>
      <c r="AA30" s="113" t="str">
        <f t="shared" si="4"/>
        <v/>
      </c>
      <c r="AB30" s="111" t="str">
        <f t="shared" si="8"/>
        <v/>
      </c>
      <c r="AC30" s="114" t="str">
        <f t="shared" si="5"/>
        <v/>
      </c>
      <c r="AD30" s="123"/>
      <c r="AE30" s="108"/>
      <c r="AF30" s="107"/>
      <c r="AG30" s="107"/>
      <c r="AH30" s="109"/>
      <c r="AI30" s="109"/>
      <c r="AJ30" s="107"/>
      <c r="AK30" s="106"/>
    </row>
    <row r="31" spans="1:37" ht="92.25" customHeight="1" x14ac:dyDescent="0.2">
      <c r="A31" s="169">
        <v>3</v>
      </c>
      <c r="B31" s="170" t="s">
        <v>193</v>
      </c>
      <c r="C31" s="173" t="s">
        <v>245</v>
      </c>
      <c r="D31" s="133" t="s">
        <v>258</v>
      </c>
      <c r="E31" s="173" t="s">
        <v>259</v>
      </c>
      <c r="F31" s="173" t="s">
        <v>203</v>
      </c>
      <c r="G31" s="169">
        <v>86</v>
      </c>
      <c r="H31" s="167" t="str">
        <f>IF(G31&lt;=0,"",IF(G31&lt;=2,"Muy Baja",IF(G31&lt;=24,"Baja",IF(G31&lt;=500,"Media",IF(G31&lt;=5000,"Alta","Muy Alta")))))</f>
        <v>Media</v>
      </c>
      <c r="I31" s="165">
        <f>IF(H31="","",IF(H31="Muy Baja",0.2,IF(H31="Baja",0.4,IF(H31="Media",0.6,IF(H31="Alta",0.8,IF(H31="Muy Alta",1,))))))</f>
        <v>0.6</v>
      </c>
      <c r="J31" s="163" t="s">
        <v>154</v>
      </c>
      <c r="K31" s="165" t="str">
        <f>IF(NOT(ISERROR(MATCH(J31,'[1]Tabla Impacto'!$B$221:$B$223,0))),'[1]Tabla Impacto'!$F$223&amp;"Por favor no seleccionar los criterios de impacto(Afectación Económica o presupuestal y Pérdida Reputacional)",J31)</f>
        <v xml:space="preserve">     Mayor a 500 SMLMV </v>
      </c>
      <c r="L31" s="167" t="str">
        <f>IF(OR(K31='[1]Tabla Impacto'!$C$11,K31='[1]Tabla Impacto'!$D$11),"Leve",IF(OR(K31='[1]Tabla Impacto'!$C$12,K31='[1]Tabla Impacto'!$D$12),"Menor",IF(OR(K31='[1]Tabla Impacto'!$C$13,K31='[1]Tabla Impacto'!$D$13),"Moderado",IF(OR(K31='[1]Tabla Impacto'!$C$14,K31='[1]Tabla Impacto'!$D$14),"Mayor",IF(OR(K31='[1]Tabla Impacto'!$C$15,K31='[1]Tabla Impacto'!$D$15),"Catastrófico","")))))</f>
        <v>Catastrófico</v>
      </c>
      <c r="M31" s="165">
        <f>IF(L31="","",IF(L31="Leve",0.2,IF(L31="Menor",0.4,IF(L31="Moderado",0.6,IF(L31="Mayor",0.8,IF(L31="Catastrófico",1,))))))</f>
        <v>1</v>
      </c>
      <c r="N31" s="168" t="str">
        <f>IF(OR(AND(H31="Muy Baja",L31="Leve"),AND(H31="Muy Baja",L31="Menor"),AND(H31="Baja",L31="Leve")),"Bajo",IF(OR(AND(H31="Muy baja",L31="Moderado"),AND(H31="Baja",L31="Menor"),AND(H31="Baja",L31="Moderado"),AND(H31="Media",L31="Leve"),AND(H31="Media",L31="Menor"),AND(H31="Media",L31="Moderado"),AND(H31="Alta",L31="Leve"),AND(H31="Alta",L31="Menor")),"Moderado",IF(OR(AND(H31="Muy Baja",L31="Mayor"),AND(H31="Baja",L31="Mayor"),AND(H31="Media",L31="Mayor"),AND(H31="Alta",L31="Moderado"),AND(H31="Alta",L31="Mayor"),AND(H31="Muy Alta",L31="Leve"),AND(H31="Muy Alta",L31="Menor"),AND(H31="Muy Alta",L31="Moderado"),AND(H31="Muy Alta",L31="Mayor")),"Alto",IF(OR(AND(H31="Muy Baja",L31="Catastrófico"),AND(H31="Baja",L31="Catastrófico"),AND(H31="Media",L31="Catastrófico"),AND(H31="Alta",L31="Catastrófico"),AND(H31="Muy Alta",L31="Catastrófico")),"Extremo",""))))</f>
        <v>Extremo</v>
      </c>
      <c r="O31" s="106">
        <v>1</v>
      </c>
      <c r="P31" s="130" t="s">
        <v>260</v>
      </c>
      <c r="Q31" s="110" t="str">
        <f t="shared" si="0"/>
        <v>Impacto</v>
      </c>
      <c r="R31" s="108" t="s">
        <v>171</v>
      </c>
      <c r="S31" s="108" t="s">
        <v>175</v>
      </c>
      <c r="T31" s="111" t="str">
        <f t="shared" ref="T31:T33" si="11">IF(AND(R31="Preventivo",S31="Automático"),"50%",IF(AND(R31="Preventivo",S31="Manual"),"40%",IF(AND(R31="Detectivo",S31="Automático"),"40%",IF(AND(R31="Detectivo",S31="Manual"),"30%",IF(AND(R31="Correctivo",S31="Automático"),"35%",IF(AND(R31="Correctivo",S31="Manual"),"25%",""))))))</f>
        <v>25%</v>
      </c>
      <c r="U31" s="131" t="s">
        <v>181</v>
      </c>
      <c r="V31" s="131" t="s">
        <v>183</v>
      </c>
      <c r="W31" s="131" t="s">
        <v>189</v>
      </c>
      <c r="X31" s="112">
        <f>IFERROR(IF(Q31="Probabilidad",(I31-(+I31*T31)),IF(Q31="Impacto",I31,"")),"")</f>
        <v>0.6</v>
      </c>
      <c r="Y31" s="113" t="str">
        <f t="shared" si="2"/>
        <v>Media</v>
      </c>
      <c r="Z31" s="111">
        <f t="shared" si="3"/>
        <v>0.6</v>
      </c>
      <c r="AA31" s="113" t="str">
        <f t="shared" si="4"/>
        <v>Mayor</v>
      </c>
      <c r="AB31" s="111">
        <f>IFERROR(IF(Q31="Impacto",(M31-(+M31*T31)),IF(Q31="Probabilidad",M31,"")),"")</f>
        <v>0.75</v>
      </c>
      <c r="AC31" s="114" t="str">
        <f t="shared" si="5"/>
        <v>Alto</v>
      </c>
      <c r="AD31" s="191" t="str">
        <f>IFERROR(IF(OR(AND(AC31="Bajo",AC32="Bajo",AC33="Bajo"),AND(AC31="Bajo",AC32="Bajo",AC33=""),AND(AC31="Bajo",AC32="",AC33="")),"Bajo",IF(OR(AND(AC31="Bajo",AC32="Bajo",AC33="Moderado"),AND(AC31="Bajo",AC32="Moderado",AC33="Moderado"),AND(AC31="Moderado",AC32="Moderado",AC33="Moderado"),AND(AC31="Bajo",AC32="Moderado",AC33=""),AND(AC31="Moderado",AC32="Bajo",AC33=""),AND(AC31="Moderado",AC32="Moderado",AC33=""),AND(AC31="Moderado",AC32="",AC33="")),"Moderado",IF(OR(AND(AC31="Bajo",AC32="Bajo",AC33="Alto"),AND(AC31="Bajo",AC32="Moderado",AC33="Alto"),AND(AC31="Moderado",AC32="Bajo",AC33="Alto"),AND(AC31="Moderado",AC32="Alto",AC33="Bajo"),AND(AC31="Moderado",AC32="Moderado",AC33="Alto"),AND(AC31="Alto",AC32="Bajo",AC33="Bajo"),AND(AC31="Alto",AC32="Moderado",AC33="Bajo"),AND(AC31="Alto",AC32="Moderado",AC33="Moderado"),AND(AC31="Alto",AC32="Alto",AC33="Bajo"),AND(AC31="Alto",AC32="Alto",AC33="Moderado"),AND(AC31="Alto",AC32="Alto",AC33="Alto"),AND(AC31="Alto",AC32="Bajo",AC33=""),AND(AC31="Alto",AC32="Moderado",AC33=""),AND(AC31="Alto",AC32="Alto",AC33=""),AND(AC31="Bajo",AC32="Alto",AC33=""),AND(AC31="Moderado",AC32="Alto",AC33=""),AND(AC31="Alto",AC32="",AC33="")),"Alto",IF(OR(AND(AC31="Bajo",AC32="Bajo",AC33="Extremo"),AND(AC31="Bajo",AC32="Moderado",AC33="Extremo"),AND(AC31="Bajo",AC32="Alto",AC33="Extremo"),AND(AC31="Moderado",AC32="Bajo",AC33="Extremo"),AND(AC31="Moderado",AC32="Alto",AC33="Extremo"),AND(AC31="Moderado",AC32="Moderado",AC33="Extremo"),AND(AC31="Alto",AC32="Bajo",AC33="Extremo"),AND(AC31="Alto",AC32="Moderado",AC33="Extremo"),AND(AC31="Alto",AC32="Alto",AC33="Extremo"),AND(AC31="Extremo",AC32="Bajo",AC33="Bajo"),AND(AC31="Extremo",AC32="Bajo",AC33="Moderado"),AND(AC31="Extremo",AC32="Bajo",AC33="Alto"),AND(AC31="Extremo",AC32="Moderado",AC33="Bajo"),AND(AC31="Extremo",AC32="Moderado",AC33="Moderado"),AND(AC31="Extremo",AC32="Moderado",AC33="Alto"),AND(AC31="Extremo",AC32="Alto",AC33="Bajo"),AND(AC31="Extremo",AC32="Alto",AC33="Moderado"),AND(AC31="Extremo",AC32="Alto",AC33="Alto"),AND(AC31="Extremo",AC32="Extremo",AC33="Bajo"),AND(AC31="Extremo",AC32="Extremo",AC33="Moderado"),AND(AC31="Extremo",AC32="Extremo",AC33="Alto"),AND(AC31="Extremo",AC32="Extremo",AC33="Extremo"),AND(AC31="Extremo",AC32="Bajo",AC33=""),AND(AC31="Extremo",AC32="Moderado",AC33=""),AND(AC31="Extremo",AC32="Alto",AC33=""),AND(AC31="Extremo",AC32="",AC33="")),"Extremo")))),"")</f>
        <v>Alto</v>
      </c>
      <c r="AE31" s="134" t="s">
        <v>196</v>
      </c>
      <c r="AF31" s="107"/>
      <c r="AG31" s="107"/>
      <c r="AH31" s="109"/>
      <c r="AI31" s="109"/>
      <c r="AJ31" s="107"/>
      <c r="AK31" s="106"/>
    </row>
    <row r="32" spans="1:37" ht="43.5" customHeight="1" x14ac:dyDescent="0.2">
      <c r="A32" s="164"/>
      <c r="B32" s="171"/>
      <c r="C32" s="173"/>
      <c r="E32" s="164"/>
      <c r="F32" s="164"/>
      <c r="G32" s="164"/>
      <c r="H32" s="166"/>
      <c r="I32" s="166"/>
      <c r="J32" s="164"/>
      <c r="K32" s="166"/>
      <c r="L32" s="166"/>
      <c r="M32" s="166"/>
      <c r="N32" s="166"/>
      <c r="O32" s="106">
        <v>2</v>
      </c>
      <c r="P32" s="130" t="s">
        <v>261</v>
      </c>
      <c r="Q32" s="110" t="str">
        <f t="shared" si="0"/>
        <v/>
      </c>
      <c r="R32" s="108"/>
      <c r="S32" s="108"/>
      <c r="T32" s="111" t="str">
        <f t="shared" si="11"/>
        <v/>
      </c>
      <c r="U32" s="131"/>
      <c r="V32" s="131"/>
      <c r="W32" s="131"/>
      <c r="X32" s="112" t="str">
        <f>IFERROR(IF(AND(Q31="Probabilidad",Q32="Probabilidad"),(Z31-(+Z31*T32)),IF(Q32="Probabilidad",(I31-(+I31*T32)),IF(Q32="Impacto",Z31,""))),"")</f>
        <v/>
      </c>
      <c r="Y32" s="113" t="str">
        <f t="shared" si="2"/>
        <v/>
      </c>
      <c r="Z32" s="111" t="str">
        <f t="shared" si="3"/>
        <v/>
      </c>
      <c r="AA32" s="113" t="str">
        <f t="shared" si="4"/>
        <v/>
      </c>
      <c r="AB32" s="111" t="str">
        <f>IFERROR(IF(AND(Q31="Impacto",Q32="Impacto"),(AB31-(+AB31*T32)),IF(Q32="Impacto",($M$16-(+$M$16*T32)),IF(Q32="Probabilidad",AB31,""))),"")</f>
        <v/>
      </c>
      <c r="AC32" s="114" t="str">
        <f t="shared" si="5"/>
        <v/>
      </c>
      <c r="AD32" s="192"/>
      <c r="AE32" s="135"/>
      <c r="AF32" s="107"/>
      <c r="AG32" s="107"/>
      <c r="AH32" s="109"/>
      <c r="AI32" s="109"/>
      <c r="AJ32" s="107"/>
      <c r="AK32" s="106"/>
    </row>
    <row r="33" spans="1:37" ht="45.75" customHeight="1" x14ac:dyDescent="0.2">
      <c r="A33" s="164"/>
      <c r="B33" s="172"/>
      <c r="C33" s="173"/>
      <c r="E33" s="164"/>
      <c r="F33" s="164"/>
      <c r="G33" s="164"/>
      <c r="H33" s="166"/>
      <c r="I33" s="166"/>
      <c r="J33" s="164"/>
      <c r="K33" s="166"/>
      <c r="L33" s="166"/>
      <c r="M33" s="166"/>
      <c r="N33" s="166"/>
      <c r="O33" s="106">
        <v>3</v>
      </c>
      <c r="P33" s="130"/>
      <c r="Q33" s="110" t="str">
        <f t="shared" si="0"/>
        <v/>
      </c>
      <c r="R33" s="108"/>
      <c r="S33" s="108"/>
      <c r="T33" s="111" t="str">
        <f t="shared" si="11"/>
        <v/>
      </c>
      <c r="U33" s="131"/>
      <c r="V33" s="131"/>
      <c r="W33" s="131"/>
      <c r="X33" s="112" t="str">
        <f>IFERROR(IF(AND(Q32="Probabilidad",Q33="Probabilidad"),(Z32-(+Z32*T33)),IF(AND(Q32="Impacto",Q33="Probabilidad"),(Z31-(+Z31*T33)),IF(Q33="Impacto",Z32,""))),"")</f>
        <v/>
      </c>
      <c r="Y33" s="113" t="str">
        <f t="shared" si="2"/>
        <v/>
      </c>
      <c r="Z33" s="111" t="str">
        <f t="shared" si="3"/>
        <v/>
      </c>
      <c r="AA33" s="113" t="str">
        <f t="shared" si="4"/>
        <v/>
      </c>
      <c r="AB33" s="111" t="str">
        <f>IFERROR(IF(AND(Q32="Impacto",Q33="Impacto"),(AB32-(+AB32*T33)),IF(AND(Q32="Probabilidad",Q33="Impacto"),(AB31-(+AB31*T33)),IF(Q33="Probabilidad",AB32,""))),"")</f>
        <v/>
      </c>
      <c r="AC33" s="114" t="str">
        <f t="shared" si="5"/>
        <v/>
      </c>
      <c r="AD33" s="193"/>
      <c r="AE33" s="136"/>
      <c r="AF33" s="107"/>
      <c r="AG33" s="107"/>
      <c r="AH33" s="109"/>
      <c r="AI33" s="109"/>
      <c r="AJ33" s="107"/>
      <c r="AK33" s="106"/>
    </row>
    <row r="34" spans="1:37" ht="16.5" hidden="1" customHeight="1" x14ac:dyDescent="0.2">
      <c r="A34" s="115"/>
      <c r="B34" s="124"/>
      <c r="C34" s="124"/>
      <c r="D34" s="124"/>
      <c r="E34" s="124"/>
      <c r="F34" s="124"/>
      <c r="G34" s="129"/>
      <c r="H34" s="127" t="str">
        <f>IF(G34&lt;=0,"",IF(G34&lt;=2,"Muy Baja",IF(G34&lt;=24,"Baja",IF(G34&lt;=500,"Media",IF(G34&lt;=5000,"Alta","Muy Alta")))))</f>
        <v/>
      </c>
      <c r="I34" s="126" t="str">
        <f>IF(H34="","",IF(H34="Muy Baja",0.2,IF(H34="Baja",0.4,IF(H34="Media",0.6,IF(H34="Alta",0.8,IF(H34="Muy Alta",1,))))))</f>
        <v/>
      </c>
      <c r="J34" s="125"/>
      <c r="K34" s="126">
        <f ca="1">IF(NOT(ISERROR(MATCH(J34,'Tabla Impacto'!$B$221:$B$223,0))),'Tabla Impacto'!$F$223&amp;"Por favor no seleccionar los criterios de impacto(Afectación Económica o presupuestal y Pérdida Reputacional)",J34)</f>
        <v>0</v>
      </c>
      <c r="L34" s="127" t="str">
        <f ca="1">IF(OR(K34='Tabla Impacto'!$C$11,K34='Tabla Impacto'!$D$11),"Leve",IF(OR(K34='Tabla Impacto'!$C$12,K34='Tabla Impacto'!$D$12),"Menor",IF(OR(K34='Tabla Impacto'!$C$13,K34='Tabla Impacto'!$D$13),"Moderado",IF(OR(K34='Tabla Impacto'!$C$14,K34='Tabla Impacto'!$D$14),"Mayor",IF(OR(K34='Tabla Impacto'!$C$15,K34='Tabla Impacto'!$D$15),"Catastrófico","")))))</f>
        <v/>
      </c>
      <c r="M34" s="126" t="str">
        <f ca="1">IF(L34="","",IF(L34="Leve",0.2,IF(L34="Menor",0.4,IF(L34="Moderado",0.6,IF(L34="Mayor",0.8,IF(L34="Catastrófico",1,))))))</f>
        <v/>
      </c>
      <c r="N34" s="128" t="str">
        <f ca="1">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106"/>
      <c r="P34" s="130"/>
      <c r="Q34" s="110" t="str">
        <f t="shared" si="0"/>
        <v/>
      </c>
      <c r="R34" s="108"/>
      <c r="S34" s="108"/>
      <c r="T34" s="111" t="str">
        <f t="shared" si="1"/>
        <v/>
      </c>
      <c r="U34" s="108"/>
      <c r="V34" s="108"/>
      <c r="W34" s="108"/>
      <c r="X34" s="112" t="str">
        <f t="shared" si="7"/>
        <v/>
      </c>
      <c r="Y34" s="113" t="str">
        <f t="shared" si="2"/>
        <v/>
      </c>
      <c r="Z34" s="111" t="str">
        <f t="shared" si="3"/>
        <v/>
      </c>
      <c r="AA34" s="113" t="str">
        <f t="shared" si="4"/>
        <v/>
      </c>
      <c r="AB34" s="111" t="str">
        <f t="shared" si="8"/>
        <v/>
      </c>
      <c r="AC34" s="114" t="str">
        <f t="shared" si="5"/>
        <v/>
      </c>
      <c r="AD34" s="123"/>
      <c r="AE34" s="108"/>
      <c r="AF34" s="107"/>
      <c r="AG34" s="107"/>
      <c r="AH34" s="109"/>
      <c r="AI34" s="109"/>
      <c r="AJ34" s="107"/>
      <c r="AK34" s="106"/>
    </row>
    <row r="35" spans="1:37" ht="16.5" hidden="1" customHeight="1" x14ac:dyDescent="0.2">
      <c r="A35" s="115"/>
      <c r="B35" s="124"/>
      <c r="C35" s="124"/>
      <c r="D35" s="124"/>
      <c r="E35" s="124"/>
      <c r="F35" s="124"/>
      <c r="G35" s="129"/>
      <c r="H35" s="127" t="str">
        <f>IF(G35&lt;=0,"",IF(G35&lt;=2,"Muy Baja",IF(G35&lt;=24,"Baja",IF(G35&lt;=500,"Media",IF(G35&lt;=5000,"Alta","Muy Alta")))))</f>
        <v/>
      </c>
      <c r="I35" s="126" t="str">
        <f>IF(H35="","",IF(H35="Muy Baja",0.2,IF(H35="Baja",0.4,IF(H35="Media",0.6,IF(H35="Alta",0.8,IF(H35="Muy Alta",1,))))))</f>
        <v/>
      </c>
      <c r="J35" s="125"/>
      <c r="K35" s="126">
        <f ca="1">IF(NOT(ISERROR(MATCH(J35,'Tabla Impacto'!$B$221:$B$223,0))),'Tabla Impacto'!$F$223&amp;"Por favor no seleccionar los criterios de impacto(Afectación Económica o presupuestal y Pérdida Reputacional)",J35)</f>
        <v>0</v>
      </c>
      <c r="L35" s="127" t="str">
        <f ca="1">IF(OR(K35='Tabla Impacto'!$C$11,K35='Tabla Impacto'!$D$11),"Leve",IF(OR(K35='Tabla Impacto'!$C$12,K35='Tabla Impacto'!$D$12),"Menor",IF(OR(K35='Tabla Impacto'!$C$13,K35='Tabla Impacto'!$D$13),"Moderado",IF(OR(K35='Tabla Impacto'!$C$14,K35='Tabla Impacto'!$D$14),"Mayor",IF(OR(K35='Tabla Impacto'!$C$15,K35='Tabla Impacto'!$D$15),"Catastrófico","")))))</f>
        <v/>
      </c>
      <c r="M35" s="126" t="str">
        <f ca="1">IF(L35="","",IF(L35="Leve",0.2,IF(L35="Menor",0.4,IF(L35="Moderado",0.6,IF(L35="Mayor",0.8,IF(L35="Catastrófico",1,))))))</f>
        <v/>
      </c>
      <c r="N35" s="128" t="str">
        <f ca="1">IF(OR(AND(H35="Muy Baja",L35="Leve"),AND(H35="Muy Baja",L35="Menor"),AND(H35="Baja",L35="Leve")),"Bajo",IF(OR(AND(H35="Muy baja",L35="Moderado"),AND(H35="Baja",L35="Menor"),AND(H35="Baja",L35="Moderado"),AND(H35="Media",L35="Leve"),AND(H35="Media",L35="Menor"),AND(H35="Media",L35="Moderado"),AND(H35="Alta",L35="Leve"),AND(H35="Alta",L35="Menor")),"Moderado",IF(OR(AND(H35="Muy Baja",L35="Mayor"),AND(H35="Baja",L35="Mayor"),AND(H35="Media",L35="Mayor"),AND(H35="Alta",L35="Moderado"),AND(H35="Alta",L35="Mayor"),AND(H35="Muy Alta",L35="Leve"),AND(H35="Muy Alta",L35="Menor"),AND(H35="Muy Alta",L35="Moderado"),AND(H35="Muy Alta",L35="Mayor")),"Alto",IF(OR(AND(H35="Muy Baja",L35="Catastrófico"),AND(H35="Baja",L35="Catastrófico"),AND(H35="Media",L35="Catastrófico"),AND(H35="Alta",L35="Catastrófico"),AND(H35="Muy Alta",L35="Catastrófico")),"Extremo",""))))</f>
        <v/>
      </c>
      <c r="O35" s="106"/>
      <c r="P35" s="130"/>
      <c r="Q35" s="110" t="str">
        <f t="shared" si="0"/>
        <v/>
      </c>
      <c r="R35" s="108"/>
      <c r="S35" s="108"/>
      <c r="T35" s="111" t="str">
        <f t="shared" si="1"/>
        <v/>
      </c>
      <c r="U35" s="108"/>
      <c r="V35" s="108"/>
      <c r="W35" s="108"/>
      <c r="X35" s="112" t="str">
        <f t="shared" si="7"/>
        <v/>
      </c>
      <c r="Y35" s="113" t="str">
        <f t="shared" si="2"/>
        <v/>
      </c>
      <c r="Z35" s="111" t="str">
        <f t="shared" si="3"/>
        <v/>
      </c>
      <c r="AA35" s="113" t="str">
        <f t="shared" si="4"/>
        <v/>
      </c>
      <c r="AB35" s="111" t="str">
        <f t="shared" si="8"/>
        <v/>
      </c>
      <c r="AC35" s="114" t="str">
        <f t="shared" si="5"/>
        <v/>
      </c>
      <c r="AD35" s="121"/>
      <c r="AE35" s="108"/>
      <c r="AF35" s="107"/>
      <c r="AG35" s="107"/>
      <c r="AH35" s="109"/>
      <c r="AI35" s="109"/>
      <c r="AJ35" s="107"/>
      <c r="AK35" s="106"/>
    </row>
    <row r="36" spans="1:37" ht="66" customHeight="1" x14ac:dyDescent="0.2">
      <c r="A36" s="169">
        <v>4</v>
      </c>
      <c r="B36" s="170" t="s">
        <v>193</v>
      </c>
      <c r="C36" s="334" t="s">
        <v>263</v>
      </c>
      <c r="D36" s="173" t="s">
        <v>264</v>
      </c>
      <c r="E36" s="173" t="s">
        <v>265</v>
      </c>
      <c r="F36" s="173" t="s">
        <v>203</v>
      </c>
      <c r="G36" s="169">
        <v>240</v>
      </c>
      <c r="H36" s="167" t="str">
        <f>IF(G36&lt;=0,"",IF(G36&lt;=2,"Muy Baja",IF(G36&lt;=24,"Baja",IF(G36&lt;=500,"Media",IF(G36&lt;=5000,"Alta","Muy Alta")))))</f>
        <v>Media</v>
      </c>
      <c r="I36" s="165">
        <f>IF(H36="","",IF(H36="Muy Baja",0.2,IF(H36="Baja",0.4,IF(H36="Media",0.6,IF(H36="Alta",0.8,IF(H36="Muy Alta",1,))))))</f>
        <v>0.6</v>
      </c>
      <c r="J36" s="163" t="s">
        <v>150</v>
      </c>
      <c r="K36" s="165" t="str">
        <f>IF(NOT(ISERROR(MATCH(J36,'[1]Tabla Impacto'!$B$221:$B$223,0))),'[1]Tabla Impacto'!$F$223&amp;"Por favor no seleccionar los criterios de impacto(Afectación Económica o presupuestal y Pérdida Reputacional)",J36)</f>
        <v xml:space="preserve">     Entre 50 y 100 SMLMV </v>
      </c>
      <c r="L36" s="167" t="str">
        <f>IF(OR(K36='[1]Tabla Impacto'!$C$11,K36='[1]Tabla Impacto'!$D$11),"Leve",IF(OR(K36='[1]Tabla Impacto'!$C$12,K36='[1]Tabla Impacto'!$D$12),"Menor",IF(OR(K36='[1]Tabla Impacto'!$C$13,K36='[1]Tabla Impacto'!$D$13),"Moderado",IF(OR(K36='[1]Tabla Impacto'!$C$14,K36='[1]Tabla Impacto'!$D$14),"Mayor",IF(OR(K36='[1]Tabla Impacto'!$C$15,K36='[1]Tabla Impacto'!$D$15),"Catastrófico","")))))</f>
        <v>Moderado</v>
      </c>
      <c r="M36" s="165">
        <f>IF(L36="","",IF(L36="Leve",0.2,IF(L36="Menor",0.4,IF(L36="Moderado",0.6,IF(L36="Mayor",0.8,IF(L36="Catastrófico",1,))))))</f>
        <v>0.6</v>
      </c>
      <c r="N36" s="168" t="str">
        <f>IF(OR(AND(H36="Muy Baja",L36="Leve"),AND(H36="Muy Baja",L36="Menor"),AND(H36="Baja",L36="Leve")),"Bajo",IF(OR(AND(H36="Muy baja",L36="Moderado"),AND(H36="Baja",L36="Menor"),AND(H36="Baja",L36="Moderado"),AND(H36="Media",L36="Leve"),AND(H36="Media",L36="Menor"),AND(H36="Media",L36="Moderado"),AND(H36="Alta",L36="Leve"),AND(H36="Alta",L36="Menor")),"Moderado",IF(OR(AND(H36="Muy Baja",L36="Mayor"),AND(H36="Baja",L36="Mayor"),AND(H36="Media",L36="Mayor"),AND(H36="Alta",L36="Moderado"),AND(H36="Alta",L36="Mayor"),AND(H36="Muy Alta",L36="Leve"),AND(H36="Muy Alta",L36="Menor"),AND(H36="Muy Alta",L36="Moderado"),AND(H36="Muy Alta",L36="Mayor")),"Alto",IF(OR(AND(H36="Muy Baja",L36="Catastrófico"),AND(H36="Baja",L36="Catastrófico"),AND(H36="Media",L36="Catastrófico"),AND(H36="Alta",L36="Catastrófico"),AND(H36="Muy Alta",L36="Catastrófico")),"Extremo",""))))</f>
        <v>Moderado</v>
      </c>
      <c r="O36" s="106">
        <v>1</v>
      </c>
      <c r="P36" s="130" t="s">
        <v>266</v>
      </c>
      <c r="Q36" s="110" t="str">
        <f t="shared" si="0"/>
        <v>Probabilidad</v>
      </c>
      <c r="R36" s="108" t="s">
        <v>167</v>
      </c>
      <c r="S36" s="108" t="s">
        <v>175</v>
      </c>
      <c r="T36" s="111" t="str">
        <f t="shared" ref="T36:T38" si="12">IF(AND(R36="Preventivo",S36="Automático"),"50%",IF(AND(R36="Preventivo",S36="Manual"),"40%",IF(AND(R36="Detectivo",S36="Automático"),"40%",IF(AND(R36="Detectivo",S36="Manual"),"30%",IF(AND(R36="Correctivo",S36="Automático"),"35%",IF(AND(R36="Correctivo",S36="Manual"),"25%",""))))))</f>
        <v>40%</v>
      </c>
      <c r="U36" s="131" t="s">
        <v>178</v>
      </c>
      <c r="V36" s="131" t="s">
        <v>185</v>
      </c>
      <c r="W36" s="131" t="s">
        <v>187</v>
      </c>
      <c r="X36" s="112">
        <f>IFERROR(IF(Q36="Probabilidad",(I36-(+I36*T36)),IF(Q36="Impacto",I36,"")),"")</f>
        <v>0.36</v>
      </c>
      <c r="Y36" s="113" t="str">
        <f t="shared" si="2"/>
        <v>Baja</v>
      </c>
      <c r="Z36" s="111">
        <f t="shared" si="3"/>
        <v>0.36</v>
      </c>
      <c r="AA36" s="113" t="str">
        <f t="shared" si="4"/>
        <v>Moderado</v>
      </c>
      <c r="AB36" s="111">
        <f>IFERROR(IF(Q36="Impacto",(M36-(+M36*T36)),IF(Q36="Probabilidad",M36,"")),"")</f>
        <v>0.6</v>
      </c>
      <c r="AC36" s="114" t="str">
        <f t="shared" si="5"/>
        <v>Moderado</v>
      </c>
      <c r="AD36" s="191" t="str">
        <f>IFERROR(IF(OR(AND(AC36="Bajo",AC37="Bajo",AC38="Bajo"),AND(AC36="Bajo",AC37="Bajo",AC38=""),AND(AC36="Bajo",AC37="",AC38="")),"Bajo",IF(OR(AND(AC36="Bajo",AC37="Bajo",AC38="Moderado"),AND(AC36="Bajo",AC37="Moderado",AC38="Moderado"),AND(AC36="Moderado",AC37="Moderado",AC38="Moderado"),AND(AC36="Bajo",AC37="Moderado",AC38=""),AND(AC36="Moderado",AC37="Bajo",AC38=""),AND(AC36="Moderado",AC37="Moderado",AC38=""),AND(AC36="Moderado",AC37="",AC38="")),"Moderado",IF(OR(AND(AC36="Bajo",AC37="Bajo",AC38="Alto"),AND(AC36="Bajo",AC37="Moderado",AC38="Alto"),AND(AC36="Moderado",AC37="Bajo",AC38="Alto"),AND(AC36="Moderado",AC37="Alto",AC38="Bajo"),AND(AC36="Moderado",AC37="Moderado",AC38="Alto"),AND(AC36="Alto",AC37="Bajo",AC38="Bajo"),AND(AC36="Alto",AC37="Moderado",AC38="Bajo"),AND(AC36="Alto",AC37="Moderado",AC38="Moderado"),AND(AC36="Alto",AC37="Alto",AC38="Bajo"),AND(AC36="Alto",AC37="Alto",AC38="Moderado"),AND(AC36="Alto",AC37="Alto",AC38="Alto"),AND(AC36="Alto",AC37="Bajo",AC38=""),AND(AC36="Alto",AC37="Moderado",AC38=""),AND(AC36="Alto",AC37="Alto",AC38=""),AND(AC36="Bajo",AC37="Alto",AC38=""),AND(AC36="Moderado",AC37="Alto",AC38=""),AND(AC36="Alto",AC37="",AC38="")),"Alto",IF(OR(AND(AC36="Bajo",AC37="Bajo",AC38="Extremo"),AND(AC36="Bajo",AC37="Moderado",AC38="Extremo"),AND(AC36="Bajo",AC37="Alto",AC38="Extremo"),AND(AC36="Moderado",AC37="Bajo",AC38="Extremo"),AND(AC36="Moderado",AC37="Alto",AC38="Extremo"),AND(AC36="Moderado",AC37="Moderado",AC38="Extremo"),AND(AC36="Alto",AC37="Bajo",AC38="Extremo"),AND(AC36="Alto",AC37="Moderado",AC38="Extremo"),AND(AC36="Alto",AC37="Alto",AC38="Extremo"),AND(AC36="Extremo",AC37="Bajo",AC38="Bajo"),AND(AC36="Extremo",AC37="Bajo",AC38="Moderado"),AND(AC36="Extremo",AC37="Bajo",AC38="Alto"),AND(AC36="Extremo",AC37="Moderado",AC38="Bajo"),AND(AC36="Extremo",AC37="Moderado",AC38="Moderado"),AND(AC36="Extremo",AC37="Moderado",AC38="Alto"),AND(AC36="Extremo",AC37="Alto",AC38="Bajo"),AND(AC36="Extremo",AC37="Alto",AC38="Moderado"),AND(AC36="Extremo",AC37="Alto",AC38="Alto"),AND(AC36="Extremo",AC37="Extremo",AC38="Bajo"),AND(AC36="Extremo",AC37="Extremo",AC38="Moderado"),AND(AC36="Extremo",AC37="Extremo",AC38="Alto"),AND(AC36="Extremo",AC37="Extremo",AC38="Extremo"),AND(AC36="Extremo",AC37="Bajo",AC38=""),AND(AC36="Extremo",AC37="Moderado",AC38=""),AND(AC36="Extremo",AC37="Alto",AC38=""),AND(AC36="Extremo",AC37="",AC38="")),"Extremo")))),"")</f>
        <v>Moderado</v>
      </c>
      <c r="AE36" s="134" t="s">
        <v>198</v>
      </c>
      <c r="AF36" s="107"/>
      <c r="AG36" s="107"/>
      <c r="AH36" s="109"/>
      <c r="AI36" s="109"/>
      <c r="AJ36" s="107"/>
      <c r="AK36" s="106"/>
    </row>
    <row r="37" spans="1:37" ht="49.5" customHeight="1" x14ac:dyDescent="0.2">
      <c r="A37" s="164"/>
      <c r="B37" s="171"/>
      <c r="C37" s="334"/>
      <c r="D37" s="173"/>
      <c r="E37" s="164"/>
      <c r="F37" s="164"/>
      <c r="G37" s="164"/>
      <c r="H37" s="166"/>
      <c r="I37" s="166"/>
      <c r="J37" s="164"/>
      <c r="K37" s="166"/>
      <c r="L37" s="166"/>
      <c r="M37" s="166"/>
      <c r="N37" s="166"/>
      <c r="O37" s="106">
        <v>2</v>
      </c>
      <c r="P37" s="130"/>
      <c r="Q37" s="110" t="str">
        <f t="shared" si="0"/>
        <v/>
      </c>
      <c r="R37" s="108"/>
      <c r="S37" s="108"/>
      <c r="T37" s="111" t="str">
        <f t="shared" si="12"/>
        <v/>
      </c>
      <c r="U37" s="131"/>
      <c r="V37" s="131"/>
      <c r="W37" s="131"/>
      <c r="X37" s="112" t="str">
        <f>IFERROR(IF(AND(Q36="Probabilidad",Q37="Probabilidad"),(Z36-(+Z36*T37)),IF(Q37="Probabilidad",(I36-(+I36*T37)),IF(Q37="Impacto",Z36,""))),"")</f>
        <v/>
      </c>
      <c r="Y37" s="113" t="str">
        <f t="shared" si="2"/>
        <v/>
      </c>
      <c r="Z37" s="111" t="str">
        <f t="shared" si="3"/>
        <v/>
      </c>
      <c r="AA37" s="113" t="str">
        <f t="shared" si="4"/>
        <v/>
      </c>
      <c r="AB37" s="111" t="str">
        <f>IFERROR(IF(AND(Q36="Impacto",Q37="Impacto"),(AB36-(+AB36*T37)),IF(Q37="Impacto",($M$16-(+$M$16*T37)),IF(Q37="Probabilidad",AB36,""))),"")</f>
        <v/>
      </c>
      <c r="AC37" s="114" t="str">
        <f t="shared" si="5"/>
        <v/>
      </c>
      <c r="AD37" s="192"/>
      <c r="AE37" s="135"/>
      <c r="AF37" s="107"/>
      <c r="AG37" s="107"/>
      <c r="AH37" s="109"/>
      <c r="AI37" s="109"/>
      <c r="AJ37" s="107"/>
      <c r="AK37" s="106"/>
    </row>
    <row r="38" spans="1:37" x14ac:dyDescent="0.2">
      <c r="A38" s="164"/>
      <c r="B38" s="172"/>
      <c r="C38" s="334"/>
      <c r="D38" s="173"/>
      <c r="E38" s="164"/>
      <c r="F38" s="164"/>
      <c r="G38" s="164"/>
      <c r="H38" s="166"/>
      <c r="I38" s="166"/>
      <c r="J38" s="164"/>
      <c r="K38" s="166"/>
      <c r="L38" s="166"/>
      <c r="M38" s="166"/>
      <c r="N38" s="166"/>
      <c r="O38" s="106">
        <v>3</v>
      </c>
      <c r="P38" s="130"/>
      <c r="Q38" s="110" t="str">
        <f t="shared" si="0"/>
        <v/>
      </c>
      <c r="R38" s="108"/>
      <c r="S38" s="108"/>
      <c r="T38" s="111" t="str">
        <f t="shared" si="12"/>
        <v/>
      </c>
      <c r="U38" s="131"/>
      <c r="V38" s="131"/>
      <c r="W38" s="131"/>
      <c r="X38" s="112" t="str">
        <f>IFERROR(IF(AND(Q37="Probabilidad",Q38="Probabilidad"),(Z37-(+Z37*T38)),IF(AND(Q37="Impacto",Q38="Probabilidad"),(Z36-(+Z36*T38)),IF(Q38="Impacto",Z37,""))),"")</f>
        <v/>
      </c>
      <c r="Y38" s="113" t="str">
        <f t="shared" si="2"/>
        <v/>
      </c>
      <c r="Z38" s="111" t="str">
        <f t="shared" si="3"/>
        <v/>
      </c>
      <c r="AA38" s="113" t="str">
        <f t="shared" si="4"/>
        <v/>
      </c>
      <c r="AB38" s="111" t="str">
        <f>IFERROR(IF(AND(Q37="Impacto",Q38="Impacto"),(AB37-(+AB37*T38)),IF(AND(Q37="Probabilidad",Q38="Impacto"),(AB36-(+AB36*T38)),IF(Q38="Probabilidad",AB37,""))),"")</f>
        <v/>
      </c>
      <c r="AC38" s="114" t="str">
        <f t="shared" si="5"/>
        <v/>
      </c>
      <c r="AD38" s="193"/>
      <c r="AE38" s="136"/>
      <c r="AF38" s="107"/>
      <c r="AG38" s="107"/>
      <c r="AH38" s="109"/>
      <c r="AI38" s="109"/>
      <c r="AJ38" s="107"/>
      <c r="AK38" s="106"/>
    </row>
    <row r="39" spans="1:37" ht="16.5" hidden="1" customHeight="1" x14ac:dyDescent="0.2">
      <c r="A39" s="115"/>
      <c r="B39" s="124"/>
      <c r="C39" s="124"/>
      <c r="D39" s="124"/>
      <c r="E39" s="124"/>
      <c r="F39" s="124"/>
      <c r="G39" s="129"/>
      <c r="H39" s="127" t="str">
        <f>IF(G39&lt;=0,"",IF(G39&lt;=2,"Muy Baja",IF(G39&lt;=24,"Baja",IF(G39&lt;=500,"Media",IF(G39&lt;=5000,"Alta","Muy Alta")))))</f>
        <v/>
      </c>
      <c r="I39" s="126" t="str">
        <f>IF(H39="","",IF(H39="Muy Baja",0.2,IF(H39="Baja",0.4,IF(H39="Media",0.6,IF(H39="Alta",0.8,IF(H39="Muy Alta",1,))))))</f>
        <v/>
      </c>
      <c r="J39" s="125"/>
      <c r="K39" s="126">
        <f ca="1">IF(NOT(ISERROR(MATCH(J39,'Tabla Impacto'!$B$221:$B$223,0))),'Tabla Impacto'!$F$223&amp;"Por favor no seleccionar los criterios de impacto(Afectación Económica o presupuestal y Pérdida Reputacional)",J39)</f>
        <v>0</v>
      </c>
      <c r="L39" s="127" t="str">
        <f ca="1">IF(OR(K39='Tabla Impacto'!$C$11,K39='Tabla Impacto'!$D$11),"Leve",IF(OR(K39='Tabla Impacto'!$C$12,K39='Tabla Impacto'!$D$12),"Menor",IF(OR(K39='Tabla Impacto'!$C$13,K39='Tabla Impacto'!$D$13),"Moderado",IF(OR(K39='Tabla Impacto'!$C$14,K39='Tabla Impacto'!$D$14),"Mayor",IF(OR(K39='Tabla Impacto'!$C$15,K39='Tabla Impacto'!$D$15),"Catastrófico","")))))</f>
        <v/>
      </c>
      <c r="M39" s="126" t="str">
        <f ca="1">IF(L39="","",IF(L39="Leve",0.2,IF(L39="Menor",0.4,IF(L39="Moderado",0.6,IF(L39="Mayor",0.8,IF(L39="Catastrófico",1,))))))</f>
        <v/>
      </c>
      <c r="N39" s="128" t="str">
        <f ca="1">IF(OR(AND(H39="Muy Baja",L39="Leve"),AND(H39="Muy Baja",L39="Menor"),AND(H39="Baja",L39="Leve")),"Bajo",IF(OR(AND(H39="Muy baja",L39="Moderado"),AND(H39="Baja",L39="Menor"),AND(H39="Baja",L39="Moderado"),AND(H39="Media",L39="Leve"),AND(H39="Media",L39="Menor"),AND(H39="Media",L39="Moderado"),AND(H39="Alta",L39="Leve"),AND(H39="Alta",L39="Menor")),"Moderado",IF(OR(AND(H39="Muy Baja",L39="Mayor"),AND(H39="Baja",L39="Mayor"),AND(H39="Media",L39="Mayor"),AND(H39="Alta",L39="Moderado"),AND(H39="Alta",L39="Mayor"),AND(H39="Muy Alta",L39="Leve"),AND(H39="Muy Alta",L39="Menor"),AND(H39="Muy Alta",L39="Moderado"),AND(H39="Muy Alta",L39="Mayor")),"Alto",IF(OR(AND(H39="Muy Baja",L39="Catastrófico"),AND(H39="Baja",L39="Catastrófico"),AND(H39="Media",L39="Catastrófico"),AND(H39="Alta",L39="Catastrófico"),AND(H39="Muy Alta",L39="Catastrófico")),"Extremo",""))))</f>
        <v/>
      </c>
      <c r="O39" s="106"/>
      <c r="P39" s="130"/>
      <c r="Q39" s="110" t="str">
        <f t="shared" si="0"/>
        <v/>
      </c>
      <c r="R39" s="108"/>
      <c r="S39" s="108"/>
      <c r="T39" s="111" t="str">
        <f t="shared" si="1"/>
        <v/>
      </c>
      <c r="U39" s="108"/>
      <c r="V39" s="108"/>
      <c r="W39" s="108"/>
      <c r="X39" s="112" t="str">
        <f t="shared" si="7"/>
        <v/>
      </c>
      <c r="Y39" s="113" t="str">
        <f t="shared" si="2"/>
        <v/>
      </c>
      <c r="Z39" s="111" t="str">
        <f t="shared" si="3"/>
        <v/>
      </c>
      <c r="AA39" s="113" t="str">
        <f t="shared" si="4"/>
        <v/>
      </c>
      <c r="AB39" s="111" t="str">
        <f t="shared" si="8"/>
        <v/>
      </c>
      <c r="AC39" s="114" t="str">
        <f t="shared" si="5"/>
        <v/>
      </c>
      <c r="AD39" s="123"/>
      <c r="AE39" s="108"/>
      <c r="AF39" s="107"/>
      <c r="AG39" s="107"/>
      <c r="AH39" s="109"/>
      <c r="AI39" s="109"/>
      <c r="AJ39" s="107"/>
      <c r="AK39" s="106"/>
    </row>
    <row r="40" spans="1:37" ht="2.25" customHeight="1" x14ac:dyDescent="0.2">
      <c r="A40" s="115"/>
      <c r="B40" s="124"/>
      <c r="C40" s="124"/>
      <c r="D40" s="124"/>
      <c r="E40" s="124"/>
      <c r="F40" s="124"/>
      <c r="G40" s="129"/>
      <c r="H40" s="127" t="str">
        <f>IF(G40&lt;=0,"",IF(G40&lt;=2,"Muy Baja",IF(G40&lt;=24,"Baja",IF(G40&lt;=500,"Media",IF(G40&lt;=5000,"Alta","Muy Alta")))))</f>
        <v/>
      </c>
      <c r="I40" s="126" t="str">
        <f>IF(H40="","",IF(H40="Muy Baja",0.2,IF(H40="Baja",0.4,IF(H40="Media",0.6,IF(H40="Alta",0.8,IF(H40="Muy Alta",1,))))))</f>
        <v/>
      </c>
      <c r="J40" s="125"/>
      <c r="K40" s="126">
        <f ca="1">IF(NOT(ISERROR(MATCH(J40,'Tabla Impacto'!$B$221:$B$223,0))),'Tabla Impacto'!$F$223&amp;"Por favor no seleccionar los criterios de impacto(Afectación Económica o presupuestal y Pérdida Reputacional)",J40)</f>
        <v>0</v>
      </c>
      <c r="L40" s="127" t="str">
        <f ca="1">IF(OR(K40='Tabla Impacto'!$C$11,K40='Tabla Impacto'!$D$11),"Leve",IF(OR(K40='Tabla Impacto'!$C$12,K40='Tabla Impacto'!$D$12),"Menor",IF(OR(K40='Tabla Impacto'!$C$13,K40='Tabla Impacto'!$D$13),"Moderado",IF(OR(K40='Tabla Impacto'!$C$14,K40='Tabla Impacto'!$D$14),"Mayor",IF(OR(K40='Tabla Impacto'!$C$15,K40='Tabla Impacto'!$D$15),"Catastrófico","")))))</f>
        <v/>
      </c>
      <c r="M40" s="126" t="str">
        <f ca="1">IF(L40="","",IF(L40="Leve",0.2,IF(L40="Menor",0.4,IF(L40="Moderado",0.6,IF(L40="Mayor",0.8,IF(L40="Catastrófico",1,))))))</f>
        <v/>
      </c>
      <c r="N40" s="128" t="str">
        <f ca="1">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106"/>
      <c r="P40" s="130"/>
      <c r="Q40" s="110" t="str">
        <f t="shared" si="0"/>
        <v/>
      </c>
      <c r="R40" s="108"/>
      <c r="S40" s="108"/>
      <c r="T40" s="111" t="str">
        <f t="shared" si="1"/>
        <v/>
      </c>
      <c r="U40" s="108"/>
      <c r="V40" s="108"/>
      <c r="W40" s="108"/>
      <c r="X40" s="112" t="str">
        <f t="shared" si="7"/>
        <v/>
      </c>
      <c r="Y40" s="113" t="str">
        <f t="shared" si="2"/>
        <v/>
      </c>
      <c r="Z40" s="111" t="str">
        <f t="shared" si="3"/>
        <v/>
      </c>
      <c r="AA40" s="113" t="str">
        <f t="shared" si="4"/>
        <v/>
      </c>
      <c r="AB40" s="111" t="str">
        <f t="shared" si="8"/>
        <v/>
      </c>
      <c r="AC40" s="114" t="str">
        <f t="shared" si="5"/>
        <v/>
      </c>
      <c r="AD40" s="121"/>
      <c r="AE40" s="108"/>
      <c r="AF40" s="107"/>
      <c r="AG40" s="107"/>
      <c r="AH40" s="109"/>
      <c r="AI40" s="109"/>
      <c r="AJ40" s="107"/>
      <c r="AK40" s="106"/>
    </row>
    <row r="41" spans="1:37" x14ac:dyDescent="0.2">
      <c r="A41" s="169">
        <v>5</v>
      </c>
      <c r="B41" s="170"/>
      <c r="C41" s="173"/>
      <c r="D41" s="173"/>
      <c r="E41" s="173"/>
      <c r="F41" s="173"/>
      <c r="G41" s="169"/>
      <c r="H41" s="167" t="str">
        <f>IF(G41&lt;=0,"",IF(G41&lt;=2,"Muy Baja",IF(G41&lt;=24,"Baja",IF(G41&lt;=500,"Media",IF(G41&lt;=5000,"Alta","Muy Alta")))))</f>
        <v/>
      </c>
      <c r="I41" s="165" t="str">
        <f>IF(H41="","",IF(H41="Muy Baja",0.2,IF(H41="Baja",0.4,IF(H41="Media",0.6,IF(H41="Alta",0.8,IF(H41="Muy Alta",1,))))))</f>
        <v/>
      </c>
      <c r="J41" s="163"/>
      <c r="K41" s="165">
        <f>IF(NOT(ISERROR(MATCH(J41,'[1]Tabla Impacto'!$B$221:$B$223,0))),'[1]Tabla Impacto'!$F$223&amp;"Por favor no seleccionar los criterios de impacto(Afectación Económica o presupuestal y Pérdida Reputacional)",J41)</f>
        <v>0</v>
      </c>
      <c r="L41" s="167" t="str">
        <f>IF(OR(K41='[1]Tabla Impacto'!$C$11,K41='[1]Tabla Impacto'!$D$11),"Leve",IF(OR(K41='[1]Tabla Impacto'!$C$12,K41='[1]Tabla Impacto'!$D$12),"Menor",IF(OR(K41='[1]Tabla Impacto'!$C$13,K41='[1]Tabla Impacto'!$D$13),"Moderado",IF(OR(K41='[1]Tabla Impacto'!$C$14,K41='[1]Tabla Impacto'!$D$14),"Mayor",IF(OR(K41='[1]Tabla Impacto'!$C$15,K41='[1]Tabla Impacto'!$D$15),"Catastrófico","")))))</f>
        <v/>
      </c>
      <c r="M41" s="165" t="str">
        <f>IF(L41="","",IF(L41="Leve",0.2,IF(L41="Menor",0.4,IF(L41="Moderado",0.6,IF(L41="Mayor",0.8,IF(L41="Catastrófico",1,))))))</f>
        <v/>
      </c>
      <c r="N41" s="168" t="str">
        <f>IF(OR(AND(H41="Muy Baja",L41="Leve"),AND(H41="Muy Baja",L41="Menor"),AND(H41="Baja",L41="Leve")),"Bajo",IF(OR(AND(H41="Muy baja",L41="Moderado"),AND(H41="Baja",L41="Menor"),AND(H41="Baja",L41="Moderado"),AND(H41="Media",L41="Leve"),AND(H41="Media",L41="Menor"),AND(H41="Media",L41="Moderado"),AND(H41="Alta",L41="Leve"),AND(H41="Alta",L41="Menor")),"Moderado",IF(OR(AND(H41="Muy Baja",L41="Mayor"),AND(H41="Baja",L41="Mayor"),AND(H41="Media",L41="Mayor"),AND(H41="Alta",L41="Moderado"),AND(H41="Alta",L41="Mayor"),AND(H41="Muy Alta",L41="Leve"),AND(H41="Muy Alta",L41="Menor"),AND(H41="Muy Alta",L41="Moderado"),AND(H41="Muy Alta",L41="Mayor")),"Alto",IF(OR(AND(H41="Muy Baja",L41="Catastrófico"),AND(H41="Baja",L41="Catastrófico"),AND(H41="Media",L41="Catastrófico"),AND(H41="Alta",L41="Catastrófico"),AND(H41="Muy Alta",L41="Catastrófico")),"Extremo",""))))</f>
        <v/>
      </c>
      <c r="O41" s="106">
        <v>1</v>
      </c>
      <c r="P41" s="130"/>
      <c r="Q41" s="110" t="str">
        <f t="shared" si="0"/>
        <v/>
      </c>
      <c r="R41" s="108"/>
      <c r="S41" s="108"/>
      <c r="T41" s="111" t="str">
        <f t="shared" ref="T41:T43" si="13">IF(AND(R41="Preventivo",S41="Automático"),"50%",IF(AND(R41="Preventivo",S41="Manual"),"40%",IF(AND(R41="Detectivo",S41="Automático"),"40%",IF(AND(R41="Detectivo",S41="Manual"),"30%",IF(AND(R41="Correctivo",S41="Automático"),"35%",IF(AND(R41="Correctivo",S41="Manual"),"25%",""))))))</f>
        <v/>
      </c>
      <c r="U41" s="131"/>
      <c r="V41" s="131"/>
      <c r="W41" s="131"/>
      <c r="X41" s="112" t="str">
        <f>IFERROR(IF(Q41="Probabilidad",(I41-(+I41*T41)),IF(Q41="Impacto",I41,"")),"")</f>
        <v/>
      </c>
      <c r="Y41" s="113" t="str">
        <f t="shared" si="2"/>
        <v/>
      </c>
      <c r="Z41" s="111" t="str">
        <f t="shared" si="3"/>
        <v/>
      </c>
      <c r="AA41" s="113" t="str">
        <f t="shared" si="4"/>
        <v/>
      </c>
      <c r="AB41" s="111" t="str">
        <f>IFERROR(IF(Q41="Impacto",(M41-(+M41*T41)),IF(Q41="Probabilidad",M41,"")),"")</f>
        <v/>
      </c>
      <c r="AC41" s="114" t="str">
        <f t="shared" si="5"/>
        <v/>
      </c>
      <c r="AD41" s="191" t="b">
        <f>IFERROR(IF(OR(AND(AC41="Bajo",AC42="Bajo",AC43="Bajo"),AND(AC41="Bajo",AC42="Bajo",AC43=""),AND(AC41="Bajo",AC42="",AC43="")),"Bajo",IF(OR(AND(AC41="Bajo",AC42="Bajo",AC43="Moderado"),AND(AC41="Bajo",AC42="Moderado",AC43="Moderado"),AND(AC41="Moderado",AC42="Moderado",AC43="Moderado"),AND(AC41="Bajo",AC42="Moderado",AC43=""),AND(AC41="Moderado",AC42="Bajo",AC43=""),AND(AC41="Moderado",AC42="Moderado",AC43=""),AND(AC41="Moderado",AC42="",AC43="")),"Moderado",IF(OR(AND(AC41="Bajo",AC42="Bajo",AC43="Alto"),AND(AC41="Bajo",AC42="Moderado",AC43="Alto"),AND(AC41="Moderado",AC42="Bajo",AC43="Alto"),AND(AC41="Moderado",AC42="Alto",AC43="Bajo"),AND(AC41="Moderado",AC42="Moderado",AC43="Alto"),AND(AC41="Alto",AC42="Bajo",AC43="Bajo"),AND(AC41="Alto",AC42="Moderado",AC43="Bajo"),AND(AC41="Alto",AC42="Moderado",AC43="Moderado"),AND(AC41="Alto",AC42="Alto",AC43="Bajo"),AND(AC41="Alto",AC42="Alto",AC43="Moderado"),AND(AC41="Alto",AC42="Alto",AC43="Alto"),AND(AC41="Alto",AC42="Bajo",AC43=""),AND(AC41="Alto",AC42="Moderado",AC43=""),AND(AC41="Alto",AC42="Alto",AC43=""),AND(AC41="Bajo",AC42="Alto",AC43=""),AND(AC41="Moderado",AC42="Alto",AC43=""),AND(AC41="Alto",AC42="",AC43="")),"Alto",IF(OR(AND(AC41="Bajo",AC42="Bajo",AC43="Extremo"),AND(AC41="Bajo",AC42="Moderado",AC43="Extremo"),AND(AC41="Bajo",AC42="Alto",AC43="Extremo"),AND(AC41="Moderado",AC42="Bajo",AC43="Extremo"),AND(AC41="Moderado",AC42="Alto",AC43="Extremo"),AND(AC41="Moderado",AC42="Moderado",AC43="Extremo"),AND(AC41="Alto",AC42="Bajo",AC43="Extremo"),AND(AC41="Alto",AC42="Moderado",AC43="Extremo"),AND(AC41="Alto",AC42="Alto",AC43="Extremo"),AND(AC41="Extremo",AC42="Bajo",AC43="Bajo"),AND(AC41="Extremo",AC42="Bajo",AC43="Moderado"),AND(AC41="Extremo",AC42="Bajo",AC43="Alto"),AND(AC41="Extremo",AC42="Moderado",AC43="Bajo"),AND(AC41="Extremo",AC42="Moderado",AC43="Moderado"),AND(AC41="Extremo",AC42="Moderado",AC43="Alto"),AND(AC41="Extremo",AC42="Alto",AC43="Bajo"),AND(AC41="Extremo",AC42="Alto",AC43="Moderado"),AND(AC41="Extremo",AC42="Alto",AC43="Alto"),AND(AC41="Extremo",AC42="Extremo",AC43="Bajo"),AND(AC41="Extremo",AC42="Extremo",AC43="Moderado"),AND(AC41="Extremo",AC42="Extremo",AC43="Alto"),AND(AC41="Extremo",AC42="Extremo",AC43="Extremo"),AND(AC41="Extremo",AC42="Bajo",AC43=""),AND(AC41="Extremo",AC42="Moderado",AC43=""),AND(AC41="Extremo",AC42="Alto",AC43=""),AND(AC41="Extremo",AC42="",AC43="")),"Extremo")))),"")</f>
        <v>0</v>
      </c>
      <c r="AE41" s="134"/>
      <c r="AF41" s="107"/>
      <c r="AG41" s="107"/>
      <c r="AH41" s="109"/>
      <c r="AI41" s="109"/>
      <c r="AJ41" s="107"/>
      <c r="AK41" s="106"/>
    </row>
    <row r="42" spans="1:37" x14ac:dyDescent="0.2">
      <c r="A42" s="164"/>
      <c r="B42" s="171"/>
      <c r="C42" s="173"/>
      <c r="D42" s="173"/>
      <c r="E42" s="164"/>
      <c r="F42" s="164"/>
      <c r="G42" s="164"/>
      <c r="H42" s="166"/>
      <c r="I42" s="166"/>
      <c r="J42" s="164"/>
      <c r="K42" s="166"/>
      <c r="L42" s="166"/>
      <c r="M42" s="166"/>
      <c r="N42" s="166"/>
      <c r="O42" s="106">
        <v>2</v>
      </c>
      <c r="P42" s="130"/>
      <c r="Q42" s="110" t="str">
        <f t="shared" si="0"/>
        <v/>
      </c>
      <c r="R42" s="108"/>
      <c r="S42" s="108"/>
      <c r="T42" s="111" t="str">
        <f t="shared" si="13"/>
        <v/>
      </c>
      <c r="U42" s="131"/>
      <c r="V42" s="131"/>
      <c r="W42" s="131"/>
      <c r="X42" s="112" t="str">
        <f>IFERROR(IF(AND(Q41="Probabilidad",Q42="Probabilidad"),(Z41-(+Z41*T42)),IF(Q42="Probabilidad",(I41-(+I41*T42)),IF(Q42="Impacto",Z41,""))),"")</f>
        <v/>
      </c>
      <c r="Y42" s="113" t="str">
        <f t="shared" si="2"/>
        <v/>
      </c>
      <c r="Z42" s="111" t="str">
        <f t="shared" si="3"/>
        <v/>
      </c>
      <c r="AA42" s="113" t="str">
        <f t="shared" si="4"/>
        <v/>
      </c>
      <c r="AB42" s="111" t="str">
        <f>IFERROR(IF(AND(Q41="Impacto",Q42="Impacto"),(AB41-(+AB41*T42)),IF(Q42="Impacto",($M$16-(+$M$16*T42)),IF(Q42="Probabilidad",AB41,""))),"")</f>
        <v/>
      </c>
      <c r="AC42" s="114" t="str">
        <f t="shared" si="5"/>
        <v/>
      </c>
      <c r="AD42" s="192"/>
      <c r="AE42" s="135"/>
      <c r="AF42" s="107"/>
      <c r="AG42" s="107"/>
      <c r="AH42" s="109"/>
      <c r="AI42" s="109"/>
      <c r="AJ42" s="107"/>
      <c r="AK42" s="106"/>
    </row>
    <row r="43" spans="1:37" x14ac:dyDescent="0.2">
      <c r="A43" s="164"/>
      <c r="B43" s="172"/>
      <c r="C43" s="173"/>
      <c r="D43" s="173"/>
      <c r="E43" s="164"/>
      <c r="F43" s="164"/>
      <c r="G43" s="164"/>
      <c r="H43" s="166"/>
      <c r="I43" s="166"/>
      <c r="J43" s="164"/>
      <c r="K43" s="166"/>
      <c r="L43" s="166"/>
      <c r="M43" s="166"/>
      <c r="N43" s="166"/>
      <c r="O43" s="106">
        <v>3</v>
      </c>
      <c r="P43" s="130"/>
      <c r="Q43" s="110" t="str">
        <f t="shared" si="0"/>
        <v/>
      </c>
      <c r="R43" s="108"/>
      <c r="S43" s="108"/>
      <c r="T43" s="111" t="str">
        <f t="shared" si="13"/>
        <v/>
      </c>
      <c r="U43" s="131"/>
      <c r="V43" s="131"/>
      <c r="W43" s="131"/>
      <c r="X43" s="112" t="str">
        <f>IFERROR(IF(AND(Q42="Probabilidad",Q43="Probabilidad"),(Z42-(+Z42*T43)),IF(AND(Q42="Impacto",Q43="Probabilidad"),(Z41-(+Z41*T43)),IF(Q43="Impacto",Z42,""))),"")</f>
        <v/>
      </c>
      <c r="Y43" s="113" t="str">
        <f t="shared" si="2"/>
        <v/>
      </c>
      <c r="Z43" s="111" t="str">
        <f t="shared" si="3"/>
        <v/>
      </c>
      <c r="AA43" s="113" t="str">
        <f t="shared" si="4"/>
        <v/>
      </c>
      <c r="AB43" s="111" t="str">
        <f>IFERROR(IF(AND(Q42="Impacto",Q43="Impacto"),(AB42-(+AB42*T43)),IF(AND(Q42="Probabilidad",Q43="Impacto"),(AB41-(+AB41*T43)),IF(Q43="Probabilidad",AB42,""))),"")</f>
        <v/>
      </c>
      <c r="AC43" s="114" t="str">
        <f t="shared" si="5"/>
        <v/>
      </c>
      <c r="AD43" s="193"/>
      <c r="AE43" s="136"/>
      <c r="AF43" s="107"/>
      <c r="AG43" s="107"/>
      <c r="AH43" s="109"/>
      <c r="AI43" s="109"/>
      <c r="AJ43" s="107"/>
      <c r="AK43" s="106"/>
    </row>
    <row r="44" spans="1:37" hidden="1" x14ac:dyDescent="0.2">
      <c r="A44" s="115"/>
      <c r="B44" s="124"/>
      <c r="C44" s="124"/>
      <c r="D44" s="124"/>
      <c r="E44" s="124"/>
      <c r="F44" s="124"/>
      <c r="G44" s="129"/>
      <c r="H44" s="127" t="str">
        <f>IF(G44&lt;=0,"",IF(G44&lt;=2,"Muy Baja",IF(G44&lt;=24,"Baja",IF(G44&lt;=500,"Media",IF(G44&lt;=5000,"Alta","Muy Alta")))))</f>
        <v/>
      </c>
      <c r="I44" s="126" t="str">
        <f>IF(H44="","",IF(H44="Muy Baja",0.2,IF(H44="Baja",0.4,IF(H44="Media",0.6,IF(H44="Alta",0.8,IF(H44="Muy Alta",1,))))))</f>
        <v/>
      </c>
      <c r="J44" s="125"/>
      <c r="K44" s="126">
        <f ca="1">IF(NOT(ISERROR(MATCH(J44,'Tabla Impacto'!$B$221:$B$223,0))),'Tabla Impacto'!$F$223&amp;"Por favor no seleccionar los criterios de impacto(Afectación Económica o presupuestal y Pérdida Reputacional)",J44)</f>
        <v>0</v>
      </c>
      <c r="L44" s="127" t="str">
        <f ca="1">IF(OR(K44='Tabla Impacto'!$C$11,K44='Tabla Impacto'!$D$11),"Leve",IF(OR(K44='Tabla Impacto'!$C$12,K44='Tabla Impacto'!$D$12),"Menor",IF(OR(K44='Tabla Impacto'!$C$13,K44='Tabla Impacto'!$D$13),"Moderado",IF(OR(K44='Tabla Impacto'!$C$14,K44='Tabla Impacto'!$D$14),"Mayor",IF(OR(K44='Tabla Impacto'!$C$15,K44='Tabla Impacto'!$D$15),"Catastrófico","")))))</f>
        <v/>
      </c>
      <c r="M44" s="126" t="str">
        <f ca="1">IF(L44="","",IF(L44="Leve",0.2,IF(L44="Menor",0.4,IF(L44="Moderado",0.6,IF(L44="Mayor",0.8,IF(L44="Catastrófico",1,))))))</f>
        <v/>
      </c>
      <c r="N44" s="128" t="str">
        <f ca="1">IF(OR(AND(H44="Muy Baja",L44="Leve"),AND(H44="Muy Baja",L44="Menor"),AND(H44="Baja",L44="Leve")),"Bajo",IF(OR(AND(H44="Muy baja",L44="Moderado"),AND(H44="Baja",L44="Menor"),AND(H44="Baja",L44="Moderado"),AND(H44="Media",L44="Leve"),AND(H44="Media",L44="Menor"),AND(H44="Media",L44="Moderado"),AND(H44="Alta",L44="Leve"),AND(H44="Alta",L44="Menor")),"Moderado",IF(OR(AND(H44="Muy Baja",L44="Mayor"),AND(H44="Baja",L44="Mayor"),AND(H44="Media",L44="Mayor"),AND(H44="Alta",L44="Moderado"),AND(H44="Alta",L44="Mayor"),AND(H44="Muy Alta",L44="Leve"),AND(H44="Muy Alta",L44="Menor"),AND(H44="Muy Alta",L44="Moderado"),AND(H44="Muy Alta",L44="Mayor")),"Alto",IF(OR(AND(H44="Muy Baja",L44="Catastrófico"),AND(H44="Baja",L44="Catastrófico"),AND(H44="Media",L44="Catastrófico"),AND(H44="Alta",L44="Catastrófico"),AND(H44="Muy Alta",L44="Catastrófico")),"Extremo",""))))</f>
        <v/>
      </c>
      <c r="O44" s="106"/>
      <c r="P44" s="107"/>
      <c r="Q44" s="110"/>
      <c r="R44" s="108"/>
      <c r="S44" s="108"/>
      <c r="T44" s="111" t="str">
        <f t="shared" ref="T44:T45" si="14">IF(AND(R44="Preventivo",S44="Automático"),"50%",IF(AND(R44="Preventivo",S44="Manual"),"40%",IF(AND(R44="Detectivo",S44="Automático"),"40%",IF(AND(R44="Detectivo",S44="Manual"),"30%",IF(AND(R44="Correctivo",S44="Automático"),"35%",IF(AND(R44="Correctivo",S44="Manual"),"25%",""))))))</f>
        <v/>
      </c>
      <c r="U44" s="108"/>
      <c r="V44" s="108"/>
      <c r="W44" s="108"/>
      <c r="X44" s="112" t="str">
        <f t="shared" ref="X44:X45" si="15">IFERROR(IF(Q44="Probabilidad",(I44-(+I44*T44)),IF(Q44="Impacto",I44,"")),"")</f>
        <v/>
      </c>
      <c r="Y44" s="113" t="str">
        <f t="shared" ref="Y44:Y45" si="16">IFERROR(IF(X44="","",IF(X44&lt;=0.2,"Muy Baja",IF(X44&lt;=0.4,"Baja",IF(X44&lt;=0.6,"Media",IF(X44&lt;=0.8,"Alta","Muy Alta"))))),"")</f>
        <v/>
      </c>
      <c r="Z44" s="111" t="str">
        <f t="shared" ref="Z44:Z45" si="17">+X44</f>
        <v/>
      </c>
      <c r="AA44" s="113" t="str">
        <f t="shared" ref="AA44:AA45" si="18">IFERROR(IF(AB44="","",IF(AB44&lt;=0.2,"Leve",IF(AB44&lt;=0.4,"Menor",IF(AB44&lt;=0.6,"Moderado",IF(AB44&lt;=0.8,"Mayor","Catastrófico"))))),"")</f>
        <v/>
      </c>
      <c r="AB44" s="111" t="str">
        <f t="shared" ref="AB44:AB45" si="19">IFERROR(IF(Q44="Impacto",(M44-(+M44*T44)),IF(Q44="Probabilidad",M44,"")),"")</f>
        <v/>
      </c>
      <c r="AC44" s="114" t="str">
        <f t="shared" ref="AC44:AC45" si="20">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23"/>
      <c r="AE44" s="108"/>
      <c r="AF44" s="107"/>
      <c r="AG44" s="107"/>
      <c r="AH44" s="109"/>
      <c r="AI44" s="109"/>
      <c r="AJ44" s="107"/>
      <c r="AK44" s="106"/>
    </row>
    <row r="45" spans="1:37" hidden="1" x14ac:dyDescent="0.2">
      <c r="A45" s="115"/>
      <c r="B45" s="124"/>
      <c r="C45" s="124"/>
      <c r="D45" s="124"/>
      <c r="E45" s="124"/>
      <c r="F45" s="124"/>
      <c r="G45" s="129"/>
      <c r="H45" s="127" t="str">
        <f>IF(G45&lt;=0,"",IF(G45&lt;=2,"Muy Baja",IF(G45&lt;=24,"Baja",IF(G45&lt;=500,"Media",IF(G45&lt;=5000,"Alta","Muy Alta")))))</f>
        <v/>
      </c>
      <c r="I45" s="126" t="str">
        <f>IF(H45="","",IF(H45="Muy Baja",0.2,IF(H45="Baja",0.4,IF(H45="Media",0.6,IF(H45="Alta",0.8,IF(H45="Muy Alta",1,))))))</f>
        <v/>
      </c>
      <c r="J45" s="125"/>
      <c r="K45" s="126">
        <f ca="1">IF(NOT(ISERROR(MATCH(J45,'Tabla Impacto'!$B$221:$B$223,0))),'Tabla Impacto'!$F$223&amp;"Por favor no seleccionar los criterios de impacto(Afectación Económica o presupuestal y Pérdida Reputacional)",J45)</f>
        <v>0</v>
      </c>
      <c r="L45" s="127" t="str">
        <f ca="1">IF(OR(K45='Tabla Impacto'!$C$11,K45='Tabla Impacto'!$D$11),"Leve",IF(OR(K45='Tabla Impacto'!$C$12,K45='Tabla Impacto'!$D$12),"Menor",IF(OR(K45='Tabla Impacto'!$C$13,K45='Tabla Impacto'!$D$13),"Moderado",IF(OR(K45='Tabla Impacto'!$C$14,K45='Tabla Impacto'!$D$14),"Mayor",IF(OR(K45='Tabla Impacto'!$C$15,K45='Tabla Impacto'!$D$15),"Catastrófico","")))))</f>
        <v/>
      </c>
      <c r="M45" s="126" t="str">
        <f ca="1">IF(L45="","",IF(L45="Leve",0.2,IF(L45="Menor",0.4,IF(L45="Moderado",0.6,IF(L45="Mayor",0.8,IF(L45="Catastrófico",1,))))))</f>
        <v/>
      </c>
      <c r="N45" s="128" t="str">
        <f ca="1">IF(OR(AND(H45="Muy Baja",L45="Leve"),AND(H45="Muy Baja",L45="Menor"),AND(H45="Baja",L45="Leve")),"Bajo",IF(OR(AND(H45="Muy baja",L45="Moderado"),AND(H45="Baja",L45="Menor"),AND(H45="Baja",L45="Moderado"),AND(H45="Media",L45="Leve"),AND(H45="Media",L45="Menor"),AND(H45="Media",L45="Moderado"),AND(H45="Alta",L45="Leve"),AND(H45="Alta",L45="Menor")),"Moderado",IF(OR(AND(H45="Muy Baja",L45="Mayor"),AND(H45="Baja",L45="Mayor"),AND(H45="Media",L45="Mayor"),AND(H45="Alta",L45="Moderado"),AND(H45="Alta",L45="Mayor"),AND(H45="Muy Alta",L45="Leve"),AND(H45="Muy Alta",L45="Menor"),AND(H45="Muy Alta",L45="Moderado"),AND(H45="Muy Alta",L45="Mayor")),"Alto",IF(OR(AND(H45="Muy Baja",L45="Catastrófico"),AND(H45="Baja",L45="Catastrófico"),AND(H45="Media",L45="Catastrófico"),AND(H45="Alta",L45="Catastrófico"),AND(H45="Muy Alta",L45="Catastrófico")),"Extremo",""))))</f>
        <v/>
      </c>
      <c r="O45" s="106"/>
      <c r="P45" s="107"/>
      <c r="Q45" s="106" t="str">
        <f t="shared" ref="Q45" si="21">IF(OR(R45="Preventivo",R45="Detectivo"),"Probabilidad",IF(R45="Correctivo","Impacto",""))</f>
        <v/>
      </c>
      <c r="R45" s="108"/>
      <c r="S45" s="108"/>
      <c r="T45" s="111" t="str">
        <f t="shared" si="14"/>
        <v/>
      </c>
      <c r="U45" s="108"/>
      <c r="V45" s="108"/>
      <c r="W45" s="108"/>
      <c r="X45" s="112" t="str">
        <f t="shared" si="15"/>
        <v/>
      </c>
      <c r="Y45" s="113" t="str">
        <f t="shared" si="16"/>
        <v/>
      </c>
      <c r="Z45" s="111" t="str">
        <f t="shared" si="17"/>
        <v/>
      </c>
      <c r="AA45" s="113" t="str">
        <f t="shared" si="18"/>
        <v/>
      </c>
      <c r="AB45" s="111" t="str">
        <f t="shared" si="19"/>
        <v/>
      </c>
      <c r="AC45" s="114" t="str">
        <f t="shared" si="20"/>
        <v/>
      </c>
      <c r="AD45" s="121"/>
      <c r="AE45" s="108"/>
      <c r="AF45" s="107"/>
      <c r="AG45" s="107"/>
      <c r="AH45" s="109"/>
      <c r="AI45" s="109"/>
      <c r="AJ45" s="107"/>
      <c r="AK45" s="106"/>
    </row>
    <row r="46" spans="1:37" s="118" customFormat="1" x14ac:dyDescent="0.2">
      <c r="A46" s="110"/>
      <c r="B46" s="196" t="s">
        <v>216</v>
      </c>
      <c r="C46" s="196"/>
      <c r="D46" s="196"/>
      <c r="E46" s="196"/>
      <c r="F46" s="196"/>
      <c r="G46" s="196"/>
      <c r="H46" s="196"/>
      <c r="I46" s="196"/>
      <c r="J46" s="196"/>
      <c r="K46" s="196"/>
      <c r="L46" s="196"/>
      <c r="M46" s="196"/>
      <c r="N46" s="196"/>
      <c r="O46" s="196"/>
      <c r="P46" s="196"/>
      <c r="Q46" s="196"/>
      <c r="R46" s="196"/>
      <c r="S46" s="196"/>
      <c r="T46" s="196"/>
      <c r="U46" s="196"/>
      <c r="V46" s="196"/>
      <c r="W46" s="196"/>
      <c r="X46" s="196"/>
      <c r="Y46" s="196"/>
      <c r="Z46" s="196"/>
      <c r="AA46" s="196"/>
      <c r="AB46" s="196"/>
      <c r="AC46" s="196"/>
      <c r="AD46" s="196"/>
      <c r="AE46" s="196"/>
      <c r="AF46" s="196"/>
      <c r="AG46" s="196"/>
      <c r="AH46" s="196"/>
      <c r="AI46" s="196"/>
      <c r="AJ46" s="196"/>
      <c r="AK46" s="196"/>
    </row>
    <row r="47" spans="1:37" x14ac:dyDescent="0.3">
      <c r="B47" s="120" t="s">
        <v>92</v>
      </c>
      <c r="AD47" s="117"/>
    </row>
    <row r="48" spans="1:37" x14ac:dyDescent="0.3">
      <c r="AD48" s="117"/>
    </row>
  </sheetData>
  <sheetProtection algorithmName="SHA-512" hashValue="MJRnfmb/iEo5Vm36kQGX4mvnn/sm+PUdMubom25awPv/uaeFRIh/e+DZ9pZdLlE6rIk9FHEthKvKQbpat+tXmA==" saltValue="FNqcJvtdn8zvMhAKBC2LDA==" spinCount="100000" sheet="1" formatCells="0" formatColumns="0" formatRows="0" insertRows="0" insertHyperlinks="0" deleteRows="0" selectLockedCells="1" sort="0" autoFilter="0"/>
  <mergeCells count="154">
    <mergeCell ref="AD10:AD12"/>
    <mergeCell ref="AD21:AD23"/>
    <mergeCell ref="AD16:AD18"/>
    <mergeCell ref="AD14:AD15"/>
    <mergeCell ref="AD31:AD33"/>
    <mergeCell ref="AD36:AD38"/>
    <mergeCell ref="AD41:AD43"/>
    <mergeCell ref="AD26:AD28"/>
    <mergeCell ref="B46:AK46"/>
    <mergeCell ref="L41:L43"/>
    <mergeCell ref="M41:M43"/>
    <mergeCell ref="N41:N43"/>
    <mergeCell ref="J41:J43"/>
    <mergeCell ref="K41:K43"/>
    <mergeCell ref="L36:L38"/>
    <mergeCell ref="M36:M38"/>
    <mergeCell ref="N36:N38"/>
    <mergeCell ref="B14:B15"/>
    <mergeCell ref="C14:C15"/>
    <mergeCell ref="J14:J15"/>
    <mergeCell ref="K14:K15"/>
    <mergeCell ref="L14:L15"/>
    <mergeCell ref="AC14:AC15"/>
    <mergeCell ref="AE14:AE15"/>
    <mergeCell ref="D36:D38"/>
    <mergeCell ref="E36:E38"/>
    <mergeCell ref="F36:F38"/>
    <mergeCell ref="G36:G38"/>
    <mergeCell ref="J36:J38"/>
    <mergeCell ref="K36:K38"/>
    <mergeCell ref="A41:A43"/>
    <mergeCell ref="B41:B43"/>
    <mergeCell ref="C41:C43"/>
    <mergeCell ref="D41:D43"/>
    <mergeCell ref="E41:E43"/>
    <mergeCell ref="F41:F43"/>
    <mergeCell ref="G41:G43"/>
    <mergeCell ref="H41:H43"/>
    <mergeCell ref="I41:I43"/>
    <mergeCell ref="A16:A18"/>
    <mergeCell ref="B16:B18"/>
    <mergeCell ref="C16:C18"/>
    <mergeCell ref="D16:D18"/>
    <mergeCell ref="E16:E18"/>
    <mergeCell ref="H36:H38"/>
    <mergeCell ref="I36:I38"/>
    <mergeCell ref="D14:D15"/>
    <mergeCell ref="E14:E15"/>
    <mergeCell ref="F14:F15"/>
    <mergeCell ref="G14:G15"/>
    <mergeCell ref="H14:H15"/>
    <mergeCell ref="I14:I15"/>
    <mergeCell ref="H26:H28"/>
    <mergeCell ref="I26:I28"/>
    <mergeCell ref="H21:H23"/>
    <mergeCell ref="I21:I23"/>
    <mergeCell ref="F16:F18"/>
    <mergeCell ref="G16:G18"/>
    <mergeCell ref="H16:H18"/>
    <mergeCell ref="I16:I18"/>
    <mergeCell ref="A36:A38"/>
    <mergeCell ref="B36:B38"/>
    <mergeCell ref="C36:C38"/>
    <mergeCell ref="AF14:AF15"/>
    <mergeCell ref="AG14:AG15"/>
    <mergeCell ref="AH14:AH15"/>
    <mergeCell ref="AI14:AI15"/>
    <mergeCell ref="M14:M15"/>
    <mergeCell ref="N14:N15"/>
    <mergeCell ref="O14:O15"/>
    <mergeCell ref="M16:M18"/>
    <mergeCell ref="N16:N18"/>
    <mergeCell ref="Z14:Z15"/>
    <mergeCell ref="AA14:AA15"/>
    <mergeCell ref="AB14:AB15"/>
    <mergeCell ref="AE16:AE18"/>
    <mergeCell ref="J16:J18"/>
    <mergeCell ref="K16:K18"/>
    <mergeCell ref="L16:L18"/>
    <mergeCell ref="A7:AK8"/>
    <mergeCell ref="A10:B10"/>
    <mergeCell ref="C10:N10"/>
    <mergeCell ref="O10:Q10"/>
    <mergeCell ref="A11:B11"/>
    <mergeCell ref="C11:N11"/>
    <mergeCell ref="C12:N12"/>
    <mergeCell ref="AJ14:AJ15"/>
    <mergeCell ref="AK14:AK15"/>
    <mergeCell ref="A12:B12"/>
    <mergeCell ref="A13:G13"/>
    <mergeCell ref="H13:N13"/>
    <mergeCell ref="O13:W13"/>
    <mergeCell ref="X13:AE13"/>
    <mergeCell ref="AF13:AK13"/>
    <mergeCell ref="A14:A15"/>
    <mergeCell ref="P14:P15"/>
    <mergeCell ref="Q14:Q15"/>
    <mergeCell ref="R14:W14"/>
    <mergeCell ref="X14:X15"/>
    <mergeCell ref="Y14:Y15"/>
    <mergeCell ref="N26:N28"/>
    <mergeCell ref="A26:A28"/>
    <mergeCell ref="B26:B28"/>
    <mergeCell ref="C26:C28"/>
    <mergeCell ref="D26:D28"/>
    <mergeCell ref="E26:E28"/>
    <mergeCell ref="F26:F28"/>
    <mergeCell ref="G26:G28"/>
    <mergeCell ref="N31:N33"/>
    <mergeCell ref="A31:A33"/>
    <mergeCell ref="B31:B33"/>
    <mergeCell ref="C31:C33"/>
    <mergeCell ref="E31:E33"/>
    <mergeCell ref="F31:F33"/>
    <mergeCell ref="G31:G33"/>
    <mergeCell ref="H31:H33"/>
    <mergeCell ref="I31:I33"/>
    <mergeCell ref="J31:J33"/>
    <mergeCell ref="K31:K33"/>
    <mergeCell ref="L31:L33"/>
    <mergeCell ref="M31:M33"/>
    <mergeCell ref="C21:C23"/>
    <mergeCell ref="D21:D23"/>
    <mergeCell ref="E21:E23"/>
    <mergeCell ref="F21:F23"/>
    <mergeCell ref="G21:G23"/>
    <mergeCell ref="J26:J28"/>
    <mergeCell ref="K26:K28"/>
    <mergeCell ref="L26:L28"/>
    <mergeCell ref="M26:M28"/>
    <mergeCell ref="AE21:AE23"/>
    <mergeCell ref="AE26:AE28"/>
    <mergeCell ref="AE31:AE33"/>
    <mergeCell ref="AE36:AE38"/>
    <mergeCell ref="AE41:AE43"/>
    <mergeCell ref="A1:D5"/>
    <mergeCell ref="E1:AK1"/>
    <mergeCell ref="E2:AK2"/>
    <mergeCell ref="E3:AK3"/>
    <mergeCell ref="E4:M4"/>
    <mergeCell ref="E5:M5"/>
    <mergeCell ref="N4:X4"/>
    <mergeCell ref="N5:X5"/>
    <mergeCell ref="Y4:AG4"/>
    <mergeCell ref="Y5:AG5"/>
    <mergeCell ref="AH4:AK4"/>
    <mergeCell ref="AH5:AK5"/>
    <mergeCell ref="J21:J23"/>
    <mergeCell ref="K21:K23"/>
    <mergeCell ref="L21:L23"/>
    <mergeCell ref="M21:M23"/>
    <mergeCell ref="N21:N23"/>
    <mergeCell ref="A21:A23"/>
    <mergeCell ref="B21:B23"/>
  </mergeCells>
  <conditionalFormatting sqref="H16">
    <cfRule type="cellIs" dxfId="132" priority="181" operator="equal">
      <formula>"Baja"</formula>
    </cfRule>
    <cfRule type="cellIs" dxfId="131" priority="180" operator="equal">
      <formula>"Media"</formula>
    </cfRule>
    <cfRule type="cellIs" dxfId="130" priority="179" operator="equal">
      <formula>"Alta"</formula>
    </cfRule>
    <cfRule type="cellIs" dxfId="129" priority="178" operator="equal">
      <formula>"Muy Alta"</formula>
    </cfRule>
    <cfRule type="cellIs" dxfId="128" priority="182" operator="equal">
      <formula>"Muy Baja"</formula>
    </cfRule>
  </conditionalFormatting>
  <conditionalFormatting sqref="H19:H21">
    <cfRule type="cellIs" dxfId="127" priority="68" operator="equal">
      <formula>"Media"</formula>
    </cfRule>
    <cfRule type="cellIs" dxfId="126" priority="67" operator="equal">
      <formula>"Alta"</formula>
    </cfRule>
    <cfRule type="cellIs" dxfId="125" priority="66" operator="equal">
      <formula>"Muy Alta"</formula>
    </cfRule>
    <cfRule type="cellIs" dxfId="124" priority="70" operator="equal">
      <formula>"Muy Baja"</formula>
    </cfRule>
    <cfRule type="cellIs" dxfId="123" priority="69" operator="equal">
      <formula>"Baja"</formula>
    </cfRule>
  </conditionalFormatting>
  <conditionalFormatting sqref="H24:H26">
    <cfRule type="cellIs" dxfId="122" priority="65" operator="equal">
      <formula>"Muy Baja"</formula>
    </cfRule>
    <cfRule type="cellIs" dxfId="121" priority="61" operator="equal">
      <formula>"Muy Alta"</formula>
    </cfRule>
    <cfRule type="cellIs" dxfId="120" priority="63" operator="equal">
      <formula>"Media"</formula>
    </cfRule>
    <cfRule type="cellIs" dxfId="119" priority="64" operator="equal">
      <formula>"Baja"</formula>
    </cfRule>
    <cfRule type="cellIs" dxfId="118" priority="62" operator="equal">
      <formula>"Alta"</formula>
    </cfRule>
  </conditionalFormatting>
  <conditionalFormatting sqref="H29:H31">
    <cfRule type="cellIs" dxfId="117" priority="60" operator="equal">
      <formula>"Muy Baja"</formula>
    </cfRule>
    <cfRule type="cellIs" dxfId="116" priority="59" operator="equal">
      <formula>"Baja"</formula>
    </cfRule>
    <cfRule type="cellIs" dxfId="115" priority="58" operator="equal">
      <formula>"Media"</formula>
    </cfRule>
    <cfRule type="cellIs" dxfId="114" priority="57" operator="equal">
      <formula>"Alta"</formula>
    </cfRule>
    <cfRule type="cellIs" dxfId="113" priority="56" operator="equal">
      <formula>"Muy Alta"</formula>
    </cfRule>
  </conditionalFormatting>
  <conditionalFormatting sqref="H34:H36">
    <cfRule type="cellIs" dxfId="112" priority="51" operator="equal">
      <formula>"Muy Alta"</formula>
    </cfRule>
    <cfRule type="cellIs" dxfId="111" priority="55" operator="equal">
      <formula>"Muy Baja"</formula>
    </cfRule>
    <cfRule type="cellIs" dxfId="110" priority="54" operator="equal">
      <formula>"Baja"</formula>
    </cfRule>
    <cfRule type="cellIs" dxfId="109" priority="53" operator="equal">
      <formula>"Media"</formula>
    </cfRule>
    <cfRule type="cellIs" dxfId="108" priority="52" operator="equal">
      <formula>"Alta"</formula>
    </cfRule>
  </conditionalFormatting>
  <conditionalFormatting sqref="H39:H41">
    <cfRule type="cellIs" dxfId="107" priority="50" operator="equal">
      <formula>"Muy Baja"</formula>
    </cfRule>
    <cfRule type="cellIs" dxfId="106" priority="49" operator="equal">
      <formula>"Baja"</formula>
    </cfRule>
    <cfRule type="cellIs" dxfId="105" priority="48" operator="equal">
      <formula>"Media"</formula>
    </cfRule>
    <cfRule type="cellIs" dxfId="104" priority="46" operator="equal">
      <formula>"Muy Alta"</formula>
    </cfRule>
    <cfRule type="cellIs" dxfId="103" priority="47" operator="equal">
      <formula>"Alta"</formula>
    </cfRule>
  </conditionalFormatting>
  <conditionalFormatting sqref="H44:H45">
    <cfRule type="cellIs" dxfId="102" priority="189" operator="equal">
      <formula>"Muy Alta"</formula>
    </cfRule>
    <cfRule type="cellIs" dxfId="101" priority="190" operator="equal">
      <formula>"Alta"</formula>
    </cfRule>
    <cfRule type="cellIs" dxfId="100" priority="191" operator="equal">
      <formula>"Media"</formula>
    </cfRule>
    <cfRule type="cellIs" dxfId="99" priority="192" operator="equal">
      <formula>"Baja"</formula>
    </cfRule>
    <cfRule type="cellIs" dxfId="98" priority="193" operator="equal">
      <formula>"Muy Baja"</formula>
    </cfRule>
  </conditionalFormatting>
  <conditionalFormatting sqref="K16:K45">
    <cfRule type="containsText" dxfId="97" priority="183" operator="containsText" text="❌">
      <formula>NOT(ISERROR(SEARCH(("❌"),(K16))))</formula>
    </cfRule>
  </conditionalFormatting>
  <conditionalFormatting sqref="L16">
    <cfRule type="cellIs" dxfId="96" priority="149" operator="equal">
      <formula>"Mayor"</formula>
    </cfRule>
    <cfRule type="cellIs" dxfId="95" priority="148" operator="equal">
      <formula>"Catastrófico"</formula>
    </cfRule>
    <cfRule type="cellIs" dxfId="94" priority="152" operator="equal">
      <formula>"Leve"</formula>
    </cfRule>
    <cfRule type="cellIs" dxfId="93" priority="151" operator="equal">
      <formula>"Menor"</formula>
    </cfRule>
    <cfRule type="cellIs" dxfId="92" priority="150" operator="equal">
      <formula>"Moderado"</formula>
    </cfRule>
  </conditionalFormatting>
  <conditionalFormatting sqref="L19:L21">
    <cfRule type="cellIs" dxfId="91" priority="42" operator="equal">
      <formula>"Mayor"</formula>
    </cfRule>
    <cfRule type="cellIs" dxfId="90" priority="43" operator="equal">
      <formula>"Moderado"</formula>
    </cfRule>
    <cfRule type="cellIs" dxfId="89" priority="44" operator="equal">
      <formula>"Menor"</formula>
    </cfRule>
    <cfRule type="cellIs" dxfId="88" priority="45" operator="equal">
      <formula>"Leve"</formula>
    </cfRule>
    <cfRule type="cellIs" dxfId="87" priority="41" operator="equal">
      <formula>"Catastrófico"</formula>
    </cfRule>
  </conditionalFormatting>
  <conditionalFormatting sqref="L24:L26">
    <cfRule type="cellIs" dxfId="86" priority="37" operator="equal">
      <formula>"Mayor"</formula>
    </cfRule>
    <cfRule type="cellIs" dxfId="85" priority="36" operator="equal">
      <formula>"Catastrófico"</formula>
    </cfRule>
    <cfRule type="cellIs" dxfId="84" priority="38" operator="equal">
      <formula>"Moderado"</formula>
    </cfRule>
    <cfRule type="cellIs" dxfId="83" priority="39" operator="equal">
      <formula>"Menor"</formula>
    </cfRule>
    <cfRule type="cellIs" dxfId="82" priority="40" operator="equal">
      <formula>"Leve"</formula>
    </cfRule>
  </conditionalFormatting>
  <conditionalFormatting sqref="L29:L31">
    <cfRule type="cellIs" dxfId="81" priority="35" operator="equal">
      <formula>"Leve"</formula>
    </cfRule>
    <cfRule type="cellIs" dxfId="80" priority="34" operator="equal">
      <formula>"Menor"</formula>
    </cfRule>
    <cfRule type="cellIs" dxfId="79" priority="32" operator="equal">
      <formula>"Mayor"</formula>
    </cfRule>
    <cfRule type="cellIs" dxfId="78" priority="31" operator="equal">
      <formula>"Catastrófico"</formula>
    </cfRule>
    <cfRule type="cellIs" dxfId="77" priority="33" operator="equal">
      <formula>"Moderado"</formula>
    </cfRule>
  </conditionalFormatting>
  <conditionalFormatting sqref="L34:L36">
    <cfRule type="cellIs" dxfId="76" priority="29" operator="equal">
      <formula>"Menor"</formula>
    </cfRule>
    <cfRule type="cellIs" dxfId="75" priority="30" operator="equal">
      <formula>"Leve"</formula>
    </cfRule>
    <cfRule type="cellIs" dxfId="74" priority="28" operator="equal">
      <formula>"Moderado"</formula>
    </cfRule>
    <cfRule type="cellIs" dxfId="73" priority="27" operator="equal">
      <formula>"Mayor"</formula>
    </cfRule>
    <cfRule type="cellIs" dxfId="72" priority="26" operator="equal">
      <formula>"Catastrófico"</formula>
    </cfRule>
  </conditionalFormatting>
  <conditionalFormatting sqref="L39:L41">
    <cfRule type="cellIs" dxfId="71" priority="25" operator="equal">
      <formula>"Leve"</formula>
    </cfRule>
    <cfRule type="cellIs" dxfId="70" priority="24" operator="equal">
      <formula>"Menor"</formula>
    </cfRule>
    <cfRule type="cellIs" dxfId="69" priority="23" operator="equal">
      <formula>"Moderado"</formula>
    </cfRule>
    <cfRule type="cellIs" dxfId="68" priority="22" operator="equal">
      <formula>"Mayor"</formula>
    </cfRule>
    <cfRule type="cellIs" dxfId="67" priority="21" operator="equal">
      <formula>"Catastrófico"</formula>
    </cfRule>
  </conditionalFormatting>
  <conditionalFormatting sqref="L44:L45">
    <cfRule type="cellIs" dxfId="66" priority="194" operator="equal">
      <formula>"Catastrófico"</formula>
    </cfRule>
    <cfRule type="cellIs" dxfId="65" priority="195" operator="equal">
      <formula>"Mayor"</formula>
    </cfRule>
    <cfRule type="cellIs" dxfId="64" priority="196" operator="equal">
      <formula>"Moderado"</formula>
    </cfRule>
    <cfRule type="cellIs" dxfId="63" priority="197" operator="equal">
      <formula>"Menor"</formula>
    </cfRule>
    <cfRule type="cellIs" dxfId="62" priority="198" operator="equal">
      <formula>"Leve"</formula>
    </cfRule>
  </conditionalFormatting>
  <conditionalFormatting sqref="N16">
    <cfRule type="cellIs" dxfId="61" priority="122" operator="equal">
      <formula>"Bajo"</formula>
    </cfRule>
    <cfRule type="cellIs" dxfId="60" priority="120" operator="equal">
      <formula>"Alto"</formula>
    </cfRule>
    <cfRule type="cellIs" dxfId="59" priority="121" operator="equal">
      <formula>"Moderado"</formula>
    </cfRule>
    <cfRule type="cellIs" dxfId="58" priority="119" operator="equal">
      <formula>"Extremo"</formula>
    </cfRule>
  </conditionalFormatting>
  <conditionalFormatting sqref="N19:N21">
    <cfRule type="cellIs" dxfId="57" priority="18" operator="equal">
      <formula>"Alto"</formula>
    </cfRule>
    <cfRule type="cellIs" dxfId="56" priority="19" operator="equal">
      <formula>"Moderado"</formula>
    </cfRule>
    <cfRule type="cellIs" dxfId="55" priority="20" operator="equal">
      <formula>"Bajo"</formula>
    </cfRule>
    <cfRule type="cellIs" dxfId="54" priority="17" operator="equal">
      <formula>"Extremo"</formula>
    </cfRule>
  </conditionalFormatting>
  <conditionalFormatting sqref="N24:N26">
    <cfRule type="cellIs" dxfId="53" priority="13" operator="equal">
      <formula>"Extremo"</formula>
    </cfRule>
    <cfRule type="cellIs" dxfId="52" priority="14" operator="equal">
      <formula>"Alto"</formula>
    </cfRule>
    <cfRule type="cellIs" dxfId="51" priority="16" operator="equal">
      <formula>"Bajo"</formula>
    </cfRule>
    <cfRule type="cellIs" dxfId="50" priority="15" operator="equal">
      <formula>"Moderado"</formula>
    </cfRule>
  </conditionalFormatting>
  <conditionalFormatting sqref="N29:N31">
    <cfRule type="cellIs" dxfId="49" priority="12" operator="equal">
      <formula>"Bajo"</formula>
    </cfRule>
    <cfRule type="cellIs" dxfId="48" priority="11" operator="equal">
      <formula>"Moderado"</formula>
    </cfRule>
    <cfRule type="cellIs" dxfId="47" priority="10" operator="equal">
      <formula>"Alto"</formula>
    </cfRule>
    <cfRule type="cellIs" dxfId="46" priority="9" operator="equal">
      <formula>"Extremo"</formula>
    </cfRule>
  </conditionalFormatting>
  <conditionalFormatting sqref="N34:N36">
    <cfRule type="cellIs" dxfId="45" priority="7" operator="equal">
      <formula>"Moderado"</formula>
    </cfRule>
    <cfRule type="cellIs" dxfId="44" priority="8" operator="equal">
      <formula>"Bajo"</formula>
    </cfRule>
    <cfRule type="cellIs" dxfId="43" priority="6" operator="equal">
      <formula>"Alto"</formula>
    </cfRule>
    <cfRule type="cellIs" dxfId="42" priority="5" operator="equal">
      <formula>"Extremo"</formula>
    </cfRule>
  </conditionalFormatting>
  <conditionalFormatting sqref="N39:N41">
    <cfRule type="cellIs" dxfId="41" priority="4" operator="equal">
      <formula>"Bajo"</formula>
    </cfRule>
    <cfRule type="cellIs" dxfId="40" priority="3" operator="equal">
      <formula>"Moderado"</formula>
    </cfRule>
    <cfRule type="cellIs" dxfId="39" priority="2" operator="equal">
      <formula>"Alto"</formula>
    </cfRule>
    <cfRule type="cellIs" dxfId="38" priority="1" operator="equal">
      <formula>"Extremo"</formula>
    </cfRule>
  </conditionalFormatting>
  <conditionalFormatting sqref="N44:N45">
    <cfRule type="cellIs" dxfId="37" priority="202" operator="equal">
      <formula>"Bajo"</formula>
    </cfRule>
    <cfRule type="cellIs" dxfId="36" priority="201" operator="equal">
      <formula>"Moderado"</formula>
    </cfRule>
    <cfRule type="cellIs" dxfId="35" priority="200" operator="equal">
      <formula>"Alto"</formula>
    </cfRule>
    <cfRule type="cellIs" dxfId="34" priority="199" operator="equal">
      <formula>"Extremo"</formula>
    </cfRule>
  </conditionalFormatting>
  <conditionalFormatting sqref="Y16:Y45">
    <cfRule type="cellIs" dxfId="33" priority="90" operator="equal">
      <formula>"Alta"</formula>
    </cfRule>
    <cfRule type="cellIs" dxfId="32" priority="91" operator="equal">
      <formula>"Media"</formula>
    </cfRule>
    <cfRule type="cellIs" dxfId="31" priority="92" operator="equal">
      <formula>"Baja"</formula>
    </cfRule>
    <cfRule type="cellIs" dxfId="30" priority="93" operator="equal">
      <formula>"Muy Baja"</formula>
    </cfRule>
    <cfRule type="cellIs" dxfId="29" priority="89" operator="equal">
      <formula>"Muy Alta"</formula>
    </cfRule>
  </conditionalFormatting>
  <conditionalFormatting sqref="AA16:AA45">
    <cfRule type="cellIs" dxfId="28" priority="79" operator="equal">
      <formula>"Catastrófico"</formula>
    </cfRule>
    <cfRule type="cellIs" dxfId="27" priority="80" operator="equal">
      <formula>"Mayor"</formula>
    </cfRule>
    <cfRule type="cellIs" dxfId="26" priority="81" operator="equal">
      <formula>"Moderado"</formula>
    </cfRule>
    <cfRule type="cellIs" dxfId="25" priority="82" operator="equal">
      <formula>"Menor"</formula>
    </cfRule>
    <cfRule type="cellIs" dxfId="24" priority="83" operator="equal">
      <formula>"Leve"</formula>
    </cfRule>
  </conditionalFormatting>
  <conditionalFormatting sqref="AC16:AC45">
    <cfRule type="cellIs" dxfId="23" priority="74" operator="equal">
      <formula>"Bajo"</formula>
    </cfRule>
    <cfRule type="cellIs" dxfId="22" priority="73" operator="equal">
      <formula>"Moderado"</formula>
    </cfRule>
    <cfRule type="cellIs" dxfId="21" priority="72" operator="equal">
      <formula>"Alto"</formula>
    </cfRule>
    <cfRule type="cellIs" dxfId="20" priority="71" operator="equal">
      <formula>"Extremo"</formula>
    </cfRule>
  </conditionalFormatting>
  <conditionalFormatting sqref="AD10:AD11 AD13:AD14 AD16:AD17 AD21:AD22">
    <cfRule type="cellIs" dxfId="19" priority="414" operator="equal">
      <formula>"Bajo"</formula>
    </cfRule>
    <cfRule type="cellIs" dxfId="18" priority="411" operator="equal">
      <formula>"Extremo"</formula>
    </cfRule>
    <cfRule type="cellIs" dxfId="17" priority="412" operator="equal">
      <formula>"Alto"</formula>
    </cfRule>
    <cfRule type="cellIs" dxfId="16" priority="413" operator="equal">
      <formula>"Moderado"</formula>
    </cfRule>
  </conditionalFormatting>
  <conditionalFormatting sqref="AD26:AD27">
    <cfRule type="cellIs" dxfId="15" priority="360" operator="equal">
      <formula>"Alto"</formula>
    </cfRule>
    <cfRule type="cellIs" dxfId="14" priority="359" operator="equal">
      <formula>"Extremo"</formula>
    </cfRule>
    <cfRule type="cellIs" dxfId="13" priority="361" operator="equal">
      <formula>"Moderado"</formula>
    </cfRule>
    <cfRule type="cellIs" dxfId="12" priority="362" operator="equal">
      <formula>"Bajo"</formula>
    </cfRule>
  </conditionalFormatting>
  <conditionalFormatting sqref="AD31:AD32">
    <cfRule type="cellIs" dxfId="11" priority="347" operator="equal">
      <formula>"Extremo"</formula>
    </cfRule>
    <cfRule type="cellIs" dxfId="10" priority="348" operator="equal">
      <formula>"Alto"</formula>
    </cfRule>
    <cfRule type="cellIs" dxfId="9" priority="349" operator="equal">
      <formula>"Moderado"</formula>
    </cfRule>
    <cfRule type="cellIs" dxfId="8" priority="350" operator="equal">
      <formula>"Bajo"</formula>
    </cfRule>
  </conditionalFormatting>
  <conditionalFormatting sqref="AD36:AD37">
    <cfRule type="cellIs" dxfId="7" priority="355" operator="equal">
      <formula>"Extremo"</formula>
    </cfRule>
    <cfRule type="cellIs" dxfId="6" priority="356" operator="equal">
      <formula>"Alto"</formula>
    </cfRule>
    <cfRule type="cellIs" dxfId="5" priority="357" operator="equal">
      <formula>"Moderado"</formula>
    </cfRule>
    <cfRule type="cellIs" dxfId="4" priority="358" operator="equal">
      <formula>"Bajo"</formula>
    </cfRule>
  </conditionalFormatting>
  <conditionalFormatting sqref="AD41:AD42">
    <cfRule type="cellIs" dxfId="3" priority="351" operator="equal">
      <formula>"Extremo"</formula>
    </cfRule>
    <cfRule type="cellIs" dxfId="2" priority="352" operator="equal">
      <formula>"Alto"</formula>
    </cfRule>
    <cfRule type="cellIs" dxfId="1" priority="353" operator="equal">
      <formula>"Moderado"</formula>
    </cfRule>
    <cfRule type="cellIs" dxfId="0" priority="354" operator="equal">
      <formula>"Bajo"</formula>
    </cfRule>
  </conditionalFormatting>
  <dataValidations xWindow="420" yWindow="679" count="4">
    <dataValidation allowBlank="1" showInputMessage="1" showErrorMessage="1" promptTitle="NOMBRE DEL PROCESO/SUBPROCESO" prompt="Debe colocar el nombre del proceso/subproceso, de acuerdo al modelo de operación por procesos de la Administración Municipal de Pasto (Mapa de Procesos)" sqref="C10:N10" xr:uid="{00000000-0002-0000-0000-000000000000}"/>
    <dataValidation allowBlank="1" showInputMessage="1" showErrorMessage="1" promptTitle="OBJETIVO DEL PROCESO/SUBPROCESO" prompt="Debe colocar el objetivo del proceso/subproceso de acuerdo a la caracterización del proceso" sqref="C11:N11" xr:uid="{00000000-0002-0000-0000-000001000000}"/>
    <dataValidation allowBlank="1" showInputMessage="1" showErrorMessage="1" promptTitle="ALCANCE DEL PROCESO/SUBPROCESO" prompt="Debe colocar el alcance del proceso/subproceso, de acuerdo a la caracterización del mismo Incluyendo LIMITE y APLICABILIDAD" sqref="C12:N12" xr:uid="{00000000-0002-0000-0000-000002000000}"/>
    <dataValidation allowBlank="1" showInputMessage="1" showErrorMessage="1" promptTitle="Descripción de controles" prompt="Debe existir un control por cada causa._x000a__x000a_Debe tener_x000a_Responsable de ejecutar el control_x000a_Como que ejecuta el control_x000a_Tiempo que ejecuta el control_x000a_Evidencias de la ejecución del control" sqref="P22:P44 P16 P18:P20" xr:uid="{00000000-0002-0000-0000-000003000000}"/>
  </dataValidations>
  <pageMargins left="0.7" right="0.7" top="0.75" bottom="0.75" header="0" footer="0"/>
  <pageSetup orientation="portrait" r:id="rId1"/>
  <ignoredErrors>
    <ignoredError sqref="N5" numberStoredAsText="1"/>
  </ignoredErrors>
  <drawing r:id="rId2"/>
  <legacyDrawing r:id="rId3"/>
  <extLst>
    <ext xmlns:x14="http://schemas.microsoft.com/office/spreadsheetml/2009/9/main" uri="{CCE6A557-97BC-4b89-ADB6-D9C93CAAB3DF}">
      <x14:dataValidations xmlns:xm="http://schemas.microsoft.com/office/excel/2006/main" xWindow="420" yWindow="679" count="10">
        <x14:dataValidation type="list" allowBlank="1" showErrorMessage="1" xr:uid="{00000000-0002-0000-0000-000004000000}">
          <x14:formula1>
            <xm:f>'Opciones Tratamiento'!$E$2:$E$4</xm:f>
          </x14:formula1>
          <xm:sqref>B19:B21 B16 B44:B45 B24:B26 B29:B31 B34:B36 B39:B41</xm:sqref>
        </x14:dataValidation>
        <x14:dataValidation type="list" allowBlank="1" showErrorMessage="1" xr:uid="{00000000-0002-0000-0000-000005000000}">
          <x14:formula1>
            <xm:f>'Tabla Impacto'!$F$210:$F$221</xm:f>
          </x14:formula1>
          <xm:sqref>J44:J45 J16 J19:J21 J24:J26 J29:J31 J34:J36 J39:J41</xm:sqref>
        </x14:dataValidation>
        <x14:dataValidation type="list" allowBlank="1" showErrorMessage="1" xr:uid="{00000000-0002-0000-0000-000006000000}">
          <x14:formula1>
            <xm:f>'Opciones Tratamiento'!$B$9:$B$10</xm:f>
          </x14:formula1>
          <xm:sqref>AK16:AK45</xm:sqref>
        </x14:dataValidation>
        <x14:dataValidation type="list" allowBlank="1" showErrorMessage="1" xr:uid="{00000000-0002-0000-0000-000007000000}">
          <x14:formula1>
            <xm:f>'Opciones Tratamiento'!$B$13:$B$19</xm:f>
          </x14:formula1>
          <xm:sqref>F19:F21 F16 F44:F45 F24:F26 F29:F31 F34:F36 F39:F41</xm:sqref>
        </x14:dataValidation>
        <x14:dataValidation type="list" allowBlank="1" showErrorMessage="1" xr:uid="{00000000-0002-0000-0000-000008000000}">
          <x14:formula1>
            <xm:f>'Tabla Valoración controles'!$D$9:$D$10</xm:f>
          </x14:formula1>
          <xm:sqref>U16:U45</xm:sqref>
        </x14:dataValidation>
        <x14:dataValidation type="list" allowBlank="1" showErrorMessage="1" xr:uid="{00000000-0002-0000-0000-000009000000}">
          <x14:formula1>
            <xm:f>'Tabla Valoración controles'!$D$11:$D$12</xm:f>
          </x14:formula1>
          <xm:sqref>V16:V45</xm:sqref>
        </x14:dataValidation>
        <x14:dataValidation type="list" allowBlank="1" showErrorMessage="1" xr:uid="{00000000-0002-0000-0000-00000A000000}">
          <x14:formula1>
            <xm:f>'Tabla Valoración controles'!$D$13:$D$14</xm:f>
          </x14:formula1>
          <xm:sqref>W16:W45</xm:sqref>
        </x14:dataValidation>
        <x14:dataValidation type="list" allowBlank="1" showErrorMessage="1" xr:uid="{00000000-0002-0000-0000-00000B000000}">
          <x14:formula1>
            <xm:f>'Tabla Valoración controles'!$D$7:$D$8</xm:f>
          </x14:formula1>
          <xm:sqref>S16:S45</xm:sqref>
        </x14:dataValidation>
        <x14:dataValidation type="list" allowBlank="1" showErrorMessage="1" xr:uid="{00000000-0002-0000-0000-00000C000000}">
          <x14:formula1>
            <xm:f>'Tabla Valoración controles'!$D$4:$D$6</xm:f>
          </x14:formula1>
          <xm:sqref>R16:R45</xm:sqref>
        </x14:dataValidation>
        <x14:dataValidation type="list" allowBlank="1" showErrorMessage="1" xr:uid="{00000000-0002-0000-0000-00000D000000}">
          <x14:formula1>
            <xm:f>'Opciones Tratamiento'!$B$2:$B$5</xm:f>
          </x14:formula1>
          <xm:sqref>AE16 AE19:AE21 AE24:AE26 AE29:AE31 AE34:AE36 AE39:AE41 AE44:AE45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A21"/>
  <sheetViews>
    <sheetView workbookViewId="0"/>
  </sheetViews>
  <sheetFormatPr baseColWidth="10" defaultColWidth="12.625" defaultRowHeight="15" customHeight="1" x14ac:dyDescent="0.2"/>
  <cols>
    <col min="1" max="1" width="28.75" customWidth="1"/>
    <col min="2" max="26" width="10" customWidth="1"/>
  </cols>
  <sheetData>
    <row r="3" spans="1:1" ht="12.75" customHeight="1" x14ac:dyDescent="0.2">
      <c r="A3" s="97" t="s">
        <v>167</v>
      </c>
    </row>
    <row r="4" spans="1:1" ht="12.75" customHeight="1" x14ac:dyDescent="0.2">
      <c r="A4" s="97" t="s">
        <v>169</v>
      </c>
    </row>
    <row r="5" spans="1:1" ht="12.75" customHeight="1" x14ac:dyDescent="0.2">
      <c r="A5" s="97" t="s">
        <v>171</v>
      </c>
    </row>
    <row r="6" spans="1:1" ht="12.75" customHeight="1" x14ac:dyDescent="0.2">
      <c r="A6" s="97" t="s">
        <v>173</v>
      </c>
    </row>
    <row r="7" spans="1:1" ht="12.75" customHeight="1" x14ac:dyDescent="0.2">
      <c r="A7" s="97" t="s">
        <v>175</v>
      </c>
    </row>
    <row r="8" spans="1:1" ht="12.75" customHeight="1" x14ac:dyDescent="0.2">
      <c r="A8" s="97" t="s">
        <v>178</v>
      </c>
    </row>
    <row r="9" spans="1:1" ht="12.75" customHeight="1" x14ac:dyDescent="0.2">
      <c r="A9" s="97" t="s">
        <v>181</v>
      </c>
    </row>
    <row r="10" spans="1:1" ht="12.75" customHeight="1" x14ac:dyDescent="0.2">
      <c r="A10" s="97" t="s">
        <v>183</v>
      </c>
    </row>
    <row r="11" spans="1:1" ht="12.75" customHeight="1" x14ac:dyDescent="0.2">
      <c r="A11" s="97" t="s">
        <v>185</v>
      </c>
    </row>
    <row r="12" spans="1:1" ht="12.75" customHeight="1" x14ac:dyDescent="0.2">
      <c r="A12" s="97" t="s">
        <v>209</v>
      </c>
    </row>
    <row r="13" spans="1:1" ht="12.75" customHeight="1" x14ac:dyDescent="0.2">
      <c r="A13" s="97" t="s">
        <v>210</v>
      </c>
    </row>
    <row r="14" spans="1:1" ht="12.75" customHeight="1" x14ac:dyDescent="0.2">
      <c r="A14" s="97" t="s">
        <v>211</v>
      </c>
    </row>
    <row r="15" spans="1:1" ht="12.75" customHeight="1" x14ac:dyDescent="0.2">
      <c r="A15" s="96"/>
    </row>
    <row r="16" spans="1:1" ht="12.75" customHeight="1" x14ac:dyDescent="0.2">
      <c r="A16" s="97" t="s">
        <v>212</v>
      </c>
    </row>
    <row r="17" spans="1:1" ht="12.75" customHeight="1" x14ac:dyDescent="0.2">
      <c r="A17" s="97" t="s">
        <v>192</v>
      </c>
    </row>
    <row r="18" spans="1:1" ht="12.75" customHeight="1" x14ac:dyDescent="0.2">
      <c r="A18" s="97" t="s">
        <v>194</v>
      </c>
    </row>
    <row r="19" spans="1:1" ht="12.75" customHeight="1" x14ac:dyDescent="0.2">
      <c r="A19" s="96"/>
    </row>
    <row r="20" spans="1:1" ht="12.75" customHeight="1" x14ac:dyDescent="0.2">
      <c r="A20" s="97" t="s">
        <v>200</v>
      </c>
    </row>
    <row r="21" spans="1:1" ht="12.75" customHeight="1" x14ac:dyDescent="0.2">
      <c r="A21" s="97" t="s">
        <v>201</v>
      </c>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44"/>
  <sheetViews>
    <sheetView workbookViewId="0">
      <selection activeCell="E36" sqref="E36:F36"/>
    </sheetView>
  </sheetViews>
  <sheetFormatPr baseColWidth="10" defaultColWidth="12.625" defaultRowHeight="15" customHeight="1" x14ac:dyDescent="0.2"/>
  <cols>
    <col min="1" max="1" width="2.5" customWidth="1"/>
    <col min="2" max="3" width="21.625" customWidth="1"/>
    <col min="4" max="4" width="14" customWidth="1"/>
    <col min="5" max="5" width="21.625" customWidth="1"/>
    <col min="6" max="6" width="24.25" customWidth="1"/>
    <col min="7" max="8" width="21.625" customWidth="1"/>
    <col min="9" max="26" width="10" customWidth="1"/>
  </cols>
  <sheetData>
    <row r="2" spans="2:8" ht="14.25" x14ac:dyDescent="0.2">
      <c r="B2" s="197" t="s">
        <v>0</v>
      </c>
      <c r="C2" s="198"/>
      <c r="D2" s="198"/>
      <c r="E2" s="198"/>
      <c r="F2" s="198"/>
      <c r="G2" s="198"/>
      <c r="H2" s="199"/>
    </row>
    <row r="3" spans="2:8" ht="14.25" x14ac:dyDescent="0.2">
      <c r="B3" s="2"/>
      <c r="C3" s="3"/>
      <c r="D3" s="3"/>
      <c r="E3" s="3"/>
      <c r="F3" s="3"/>
      <c r="G3" s="3"/>
      <c r="H3" s="4"/>
    </row>
    <row r="4" spans="2:8" ht="63" customHeight="1" x14ac:dyDescent="0.2">
      <c r="B4" s="200" t="s">
        <v>1</v>
      </c>
      <c r="C4" s="201"/>
      <c r="D4" s="201"/>
      <c r="E4" s="201"/>
      <c r="F4" s="201"/>
      <c r="G4" s="201"/>
      <c r="H4" s="202"/>
    </row>
    <row r="5" spans="2:8" ht="63" customHeight="1" x14ac:dyDescent="0.2">
      <c r="B5" s="203"/>
      <c r="C5" s="204"/>
      <c r="D5" s="204"/>
      <c r="E5" s="204"/>
      <c r="F5" s="204"/>
      <c r="G5" s="204"/>
      <c r="H5" s="205"/>
    </row>
    <row r="6" spans="2:8" ht="14.25" x14ac:dyDescent="0.2">
      <c r="B6" s="206" t="s">
        <v>2</v>
      </c>
      <c r="C6" s="207"/>
      <c r="D6" s="207"/>
      <c r="E6" s="207"/>
      <c r="F6" s="207"/>
      <c r="G6" s="207"/>
      <c r="H6" s="208"/>
    </row>
    <row r="7" spans="2:8" ht="95.25" customHeight="1" x14ac:dyDescent="0.2">
      <c r="B7" s="209" t="s">
        <v>3</v>
      </c>
      <c r="C7" s="210"/>
      <c r="D7" s="210"/>
      <c r="E7" s="210"/>
      <c r="F7" s="210"/>
      <c r="G7" s="210"/>
      <c r="H7" s="211"/>
    </row>
    <row r="8" spans="2:8" ht="16.5" x14ac:dyDescent="0.2">
      <c r="B8" s="5"/>
      <c r="C8" s="6"/>
      <c r="D8" s="6"/>
      <c r="E8" s="6"/>
      <c r="F8" s="6"/>
      <c r="G8" s="6"/>
      <c r="H8" s="7"/>
    </row>
    <row r="9" spans="2:8" ht="16.5" customHeight="1" x14ac:dyDescent="0.2">
      <c r="B9" s="212" t="s">
        <v>4</v>
      </c>
      <c r="C9" s="201"/>
      <c r="D9" s="201"/>
      <c r="E9" s="201"/>
      <c r="F9" s="201"/>
      <c r="G9" s="201"/>
      <c r="H9" s="202"/>
    </row>
    <row r="10" spans="2:8" ht="44.25" customHeight="1" x14ac:dyDescent="0.2">
      <c r="B10" s="213"/>
      <c r="C10" s="201"/>
      <c r="D10" s="201"/>
      <c r="E10" s="201"/>
      <c r="F10" s="201"/>
      <c r="G10" s="201"/>
      <c r="H10" s="202"/>
    </row>
    <row r="11" spans="2:8" ht="14.25" x14ac:dyDescent="0.2">
      <c r="B11" s="8"/>
      <c r="C11" s="9"/>
      <c r="D11" s="10"/>
      <c r="E11" s="11"/>
      <c r="F11" s="11"/>
      <c r="G11" s="11"/>
      <c r="H11" s="12"/>
    </row>
    <row r="12" spans="2:8" ht="14.25" x14ac:dyDescent="0.2">
      <c r="B12" s="8"/>
      <c r="C12" s="214" t="s">
        <v>5</v>
      </c>
      <c r="D12" s="215"/>
      <c r="E12" s="216" t="s">
        <v>6</v>
      </c>
      <c r="F12" s="217"/>
      <c r="G12" s="9"/>
      <c r="H12" s="12"/>
    </row>
    <row r="13" spans="2:8" ht="35.25" customHeight="1" x14ac:dyDescent="0.2">
      <c r="B13" s="8"/>
      <c r="C13" s="218" t="s">
        <v>7</v>
      </c>
      <c r="D13" s="219"/>
      <c r="E13" s="220" t="s">
        <v>8</v>
      </c>
      <c r="F13" s="221"/>
      <c r="G13" s="9"/>
      <c r="H13" s="12"/>
    </row>
    <row r="14" spans="2:8" ht="17.25" customHeight="1" x14ac:dyDescent="0.2">
      <c r="B14" s="8"/>
      <c r="C14" s="218" t="s">
        <v>9</v>
      </c>
      <c r="D14" s="219"/>
      <c r="E14" s="220" t="s">
        <v>10</v>
      </c>
      <c r="F14" s="221"/>
      <c r="G14" s="9"/>
      <c r="H14" s="12"/>
    </row>
    <row r="15" spans="2:8" ht="19.5" customHeight="1" x14ac:dyDescent="0.2">
      <c r="B15" s="8"/>
      <c r="C15" s="218" t="s">
        <v>11</v>
      </c>
      <c r="D15" s="219"/>
      <c r="E15" s="220" t="s">
        <v>12</v>
      </c>
      <c r="F15" s="221"/>
      <c r="G15" s="9"/>
      <c r="H15" s="12"/>
    </row>
    <row r="16" spans="2:8" ht="69.75" customHeight="1" x14ac:dyDescent="0.2">
      <c r="B16" s="8"/>
      <c r="C16" s="218" t="s">
        <v>13</v>
      </c>
      <c r="D16" s="219"/>
      <c r="E16" s="220" t="s">
        <v>14</v>
      </c>
      <c r="F16" s="221"/>
      <c r="G16" s="9"/>
      <c r="H16" s="12"/>
    </row>
    <row r="17" spans="3:6" ht="34.5" customHeight="1" x14ac:dyDescent="0.2">
      <c r="C17" s="222" t="s">
        <v>15</v>
      </c>
      <c r="D17" s="223"/>
      <c r="E17" s="224" t="s">
        <v>16</v>
      </c>
      <c r="F17" s="225"/>
    </row>
    <row r="18" spans="3:6" ht="27.75" customHeight="1" x14ac:dyDescent="0.2">
      <c r="C18" s="222" t="s">
        <v>17</v>
      </c>
      <c r="D18" s="223"/>
      <c r="E18" s="224" t="s">
        <v>18</v>
      </c>
      <c r="F18" s="225"/>
    </row>
    <row r="19" spans="3:6" ht="28.5" customHeight="1" x14ac:dyDescent="0.2">
      <c r="C19" s="222" t="s">
        <v>19</v>
      </c>
      <c r="D19" s="223"/>
      <c r="E19" s="224" t="s">
        <v>20</v>
      </c>
      <c r="F19" s="225"/>
    </row>
    <row r="20" spans="3:6" ht="72.75" customHeight="1" x14ac:dyDescent="0.2">
      <c r="C20" s="222" t="s">
        <v>21</v>
      </c>
      <c r="D20" s="223"/>
      <c r="E20" s="224" t="s">
        <v>22</v>
      </c>
      <c r="F20" s="225"/>
    </row>
    <row r="21" spans="3:6" ht="64.5" customHeight="1" x14ac:dyDescent="0.2">
      <c r="C21" s="222" t="s">
        <v>23</v>
      </c>
      <c r="D21" s="223"/>
      <c r="E21" s="224" t="s">
        <v>24</v>
      </c>
      <c r="F21" s="225"/>
    </row>
    <row r="22" spans="3:6" ht="71.25" customHeight="1" x14ac:dyDescent="0.2">
      <c r="C22" s="222" t="s">
        <v>25</v>
      </c>
      <c r="D22" s="223"/>
      <c r="E22" s="224" t="s">
        <v>26</v>
      </c>
      <c r="F22" s="225"/>
    </row>
    <row r="23" spans="3:6" ht="55.5" customHeight="1" x14ac:dyDescent="0.2">
      <c r="C23" s="222" t="s">
        <v>27</v>
      </c>
      <c r="D23" s="223"/>
      <c r="E23" s="224" t="s">
        <v>28</v>
      </c>
      <c r="F23" s="225"/>
    </row>
    <row r="24" spans="3:6" ht="42" customHeight="1" x14ac:dyDescent="0.2">
      <c r="C24" s="222" t="s">
        <v>29</v>
      </c>
      <c r="D24" s="223"/>
      <c r="E24" s="224" t="s">
        <v>30</v>
      </c>
      <c r="F24" s="225"/>
    </row>
    <row r="25" spans="3:6" ht="59.25" customHeight="1" x14ac:dyDescent="0.2">
      <c r="C25" s="222" t="s">
        <v>31</v>
      </c>
      <c r="D25" s="223"/>
      <c r="E25" s="224" t="s">
        <v>32</v>
      </c>
      <c r="F25" s="225"/>
    </row>
    <row r="26" spans="3:6" ht="23.25" customHeight="1" x14ac:dyDescent="0.2">
      <c r="C26" s="222" t="s">
        <v>33</v>
      </c>
      <c r="D26" s="223"/>
      <c r="E26" s="224" t="s">
        <v>34</v>
      </c>
      <c r="F26" s="225"/>
    </row>
    <row r="27" spans="3:6" ht="30.75" customHeight="1" x14ac:dyDescent="0.2">
      <c r="C27" s="222" t="s">
        <v>35</v>
      </c>
      <c r="D27" s="223"/>
      <c r="E27" s="224" t="s">
        <v>36</v>
      </c>
      <c r="F27" s="225"/>
    </row>
    <row r="28" spans="3:6" ht="35.25" customHeight="1" x14ac:dyDescent="0.2">
      <c r="C28" s="222" t="s">
        <v>37</v>
      </c>
      <c r="D28" s="223"/>
      <c r="E28" s="224" t="s">
        <v>38</v>
      </c>
      <c r="F28" s="225"/>
    </row>
    <row r="29" spans="3:6" ht="33" customHeight="1" x14ac:dyDescent="0.2">
      <c r="C29" s="222" t="s">
        <v>39</v>
      </c>
      <c r="D29" s="223"/>
      <c r="E29" s="224" t="s">
        <v>38</v>
      </c>
      <c r="F29" s="225"/>
    </row>
    <row r="30" spans="3:6" ht="30" customHeight="1" x14ac:dyDescent="0.2">
      <c r="C30" s="222" t="s">
        <v>40</v>
      </c>
      <c r="D30" s="223"/>
      <c r="E30" s="224" t="s">
        <v>41</v>
      </c>
      <c r="F30" s="225"/>
    </row>
    <row r="31" spans="3:6" ht="35.25" customHeight="1" x14ac:dyDescent="0.2">
      <c r="C31" s="222" t="s">
        <v>42</v>
      </c>
      <c r="D31" s="223"/>
      <c r="E31" s="224" t="s">
        <v>43</v>
      </c>
      <c r="F31" s="225"/>
    </row>
    <row r="32" spans="3:6" ht="31.5" customHeight="1" x14ac:dyDescent="0.2">
      <c r="C32" s="222" t="s">
        <v>44</v>
      </c>
      <c r="D32" s="223"/>
      <c r="E32" s="224" t="s">
        <v>45</v>
      </c>
      <c r="F32" s="225"/>
    </row>
    <row r="33" spans="2:8" ht="35.25" customHeight="1" x14ac:dyDescent="0.2">
      <c r="B33" s="8"/>
      <c r="C33" s="222" t="s">
        <v>46</v>
      </c>
      <c r="D33" s="223"/>
      <c r="E33" s="224" t="s">
        <v>47</v>
      </c>
      <c r="F33" s="225"/>
      <c r="G33" s="9"/>
      <c r="H33" s="12"/>
    </row>
    <row r="34" spans="2:8" ht="59.25" customHeight="1" x14ac:dyDescent="0.2">
      <c r="B34" s="8"/>
      <c r="C34" s="222" t="s">
        <v>48</v>
      </c>
      <c r="D34" s="223"/>
      <c r="E34" s="224" t="s">
        <v>49</v>
      </c>
      <c r="F34" s="225"/>
      <c r="G34" s="9"/>
      <c r="H34" s="12"/>
    </row>
    <row r="35" spans="2:8" ht="29.25" customHeight="1" x14ac:dyDescent="0.2">
      <c r="B35" s="8"/>
      <c r="C35" s="222" t="s">
        <v>50</v>
      </c>
      <c r="D35" s="223"/>
      <c r="E35" s="224" t="s">
        <v>51</v>
      </c>
      <c r="F35" s="225"/>
      <c r="G35" s="9"/>
      <c r="H35" s="12"/>
    </row>
    <row r="36" spans="2:8" ht="82.5" customHeight="1" x14ac:dyDescent="0.2">
      <c r="B36" s="8"/>
      <c r="C36" s="222" t="s">
        <v>52</v>
      </c>
      <c r="D36" s="223"/>
      <c r="E36" s="224" t="s">
        <v>53</v>
      </c>
      <c r="F36" s="225"/>
      <c r="G36" s="9"/>
      <c r="H36" s="12"/>
    </row>
    <row r="37" spans="2:8" ht="46.5" customHeight="1" x14ac:dyDescent="0.2">
      <c r="B37" s="8"/>
      <c r="C37" s="222" t="s">
        <v>54</v>
      </c>
      <c r="D37" s="223"/>
      <c r="E37" s="224" t="s">
        <v>55</v>
      </c>
      <c r="F37" s="225"/>
      <c r="G37" s="9"/>
      <c r="H37" s="12"/>
    </row>
    <row r="38" spans="2:8" ht="6.75" customHeight="1" x14ac:dyDescent="0.2">
      <c r="B38" s="8"/>
      <c r="C38" s="231"/>
      <c r="D38" s="232"/>
      <c r="E38" s="226"/>
      <c r="F38" s="227"/>
      <c r="G38" s="9"/>
      <c r="H38" s="12"/>
    </row>
    <row r="39" spans="2:8" ht="15.75" customHeight="1" x14ac:dyDescent="0.2">
      <c r="B39" s="8"/>
      <c r="C39" s="13"/>
      <c r="D39" s="13"/>
      <c r="E39" s="14"/>
      <c r="F39" s="14"/>
      <c r="G39" s="9"/>
      <c r="H39" s="12"/>
    </row>
    <row r="40" spans="2:8" ht="21" customHeight="1" x14ac:dyDescent="0.2">
      <c r="B40" s="228" t="s">
        <v>56</v>
      </c>
      <c r="C40" s="229"/>
      <c r="D40" s="229"/>
      <c r="E40" s="229"/>
      <c r="F40" s="229"/>
      <c r="G40" s="229"/>
      <c r="H40" s="230"/>
    </row>
    <row r="41" spans="2:8" ht="20.25" customHeight="1" x14ac:dyDescent="0.2">
      <c r="B41" s="228" t="s">
        <v>57</v>
      </c>
      <c r="C41" s="229"/>
      <c r="D41" s="229"/>
      <c r="E41" s="229"/>
      <c r="F41" s="229"/>
      <c r="G41" s="229"/>
      <c r="H41" s="230"/>
    </row>
    <row r="42" spans="2:8" ht="20.25" customHeight="1" x14ac:dyDescent="0.2">
      <c r="B42" s="228" t="s">
        <v>58</v>
      </c>
      <c r="C42" s="229"/>
      <c r="D42" s="229"/>
      <c r="E42" s="229"/>
      <c r="F42" s="229"/>
      <c r="G42" s="229"/>
      <c r="H42" s="230"/>
    </row>
    <row r="43" spans="2:8" ht="20.25" customHeight="1" x14ac:dyDescent="0.2">
      <c r="B43" s="228" t="s">
        <v>59</v>
      </c>
      <c r="C43" s="229"/>
      <c r="D43" s="229"/>
      <c r="E43" s="229"/>
      <c r="F43" s="229"/>
      <c r="G43" s="229"/>
      <c r="H43" s="230"/>
    </row>
    <row r="44" spans="2:8" ht="15.75" customHeight="1" x14ac:dyDescent="0.2">
      <c r="B44" s="228" t="s">
        <v>60</v>
      </c>
      <c r="C44" s="229"/>
      <c r="D44" s="229"/>
      <c r="E44" s="229"/>
      <c r="F44" s="229"/>
      <c r="G44" s="229"/>
      <c r="H44" s="230"/>
    </row>
  </sheetData>
  <mergeCells count="64">
    <mergeCell ref="B43:H43"/>
    <mergeCell ref="B44:H44"/>
    <mergeCell ref="E31:F31"/>
    <mergeCell ref="E32:F32"/>
    <mergeCell ref="E33:F33"/>
    <mergeCell ref="E34:F34"/>
    <mergeCell ref="E35:F35"/>
    <mergeCell ref="E36:F36"/>
    <mergeCell ref="E37:F37"/>
    <mergeCell ref="E30:F30"/>
    <mergeCell ref="E38:F38"/>
    <mergeCell ref="B40:H40"/>
    <mergeCell ref="B41:H41"/>
    <mergeCell ref="B42:H42"/>
    <mergeCell ref="C37:D37"/>
    <mergeCell ref="C38:D38"/>
    <mergeCell ref="C30:D30"/>
    <mergeCell ref="C31:D31"/>
    <mergeCell ref="C32:D32"/>
    <mergeCell ref="C33:D33"/>
    <mergeCell ref="C34:D34"/>
    <mergeCell ref="C35:D35"/>
    <mergeCell ref="C36:D36"/>
    <mergeCell ref="C27:D27"/>
    <mergeCell ref="C28:D28"/>
    <mergeCell ref="C29:D29"/>
    <mergeCell ref="E24:F24"/>
    <mergeCell ref="E25:F25"/>
    <mergeCell ref="E26:F26"/>
    <mergeCell ref="E27:F27"/>
    <mergeCell ref="E28:F28"/>
    <mergeCell ref="E29:F29"/>
    <mergeCell ref="E23:F23"/>
    <mergeCell ref="C23:D23"/>
    <mergeCell ref="C24:D24"/>
    <mergeCell ref="C25:D25"/>
    <mergeCell ref="C26:D26"/>
    <mergeCell ref="E18:F18"/>
    <mergeCell ref="E19:F19"/>
    <mergeCell ref="E20:F20"/>
    <mergeCell ref="E21:F21"/>
    <mergeCell ref="E22:F22"/>
    <mergeCell ref="C18:D18"/>
    <mergeCell ref="C19:D19"/>
    <mergeCell ref="C20:D20"/>
    <mergeCell ref="C21:D21"/>
    <mergeCell ref="C22:D22"/>
    <mergeCell ref="C15:D15"/>
    <mergeCell ref="E15:F15"/>
    <mergeCell ref="E16:F16"/>
    <mergeCell ref="C16:D16"/>
    <mergeCell ref="C17:D17"/>
    <mergeCell ref="E17:F17"/>
    <mergeCell ref="C12:D12"/>
    <mergeCell ref="E12:F12"/>
    <mergeCell ref="C13:D13"/>
    <mergeCell ref="E13:F13"/>
    <mergeCell ref="C14:D14"/>
    <mergeCell ref="E14:F14"/>
    <mergeCell ref="B2:H2"/>
    <mergeCell ref="B4:H5"/>
    <mergeCell ref="B6:H6"/>
    <mergeCell ref="B7:H7"/>
    <mergeCell ref="B9:H10"/>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T51"/>
  <sheetViews>
    <sheetView zoomScale="40" zoomScaleNormal="40" workbookViewId="0">
      <selection activeCell="AX58" sqref="AX58"/>
    </sheetView>
  </sheetViews>
  <sheetFormatPr baseColWidth="10" defaultColWidth="12.625" defaultRowHeight="15" customHeight="1" x14ac:dyDescent="0.2"/>
  <cols>
    <col min="1" max="1" width="9.375" customWidth="1"/>
    <col min="2" max="39" width="5" customWidth="1"/>
    <col min="40" max="40" width="9.375" customWidth="1"/>
    <col min="41" max="46" width="5" customWidth="1"/>
    <col min="47" max="61" width="9.375" customWidth="1"/>
  </cols>
  <sheetData>
    <row r="2" spans="2:46" ht="18" customHeight="1" x14ac:dyDescent="0.25">
      <c r="B2" s="275" t="s">
        <v>93</v>
      </c>
      <c r="C2" s="201"/>
      <c r="D2" s="201"/>
      <c r="E2" s="201"/>
      <c r="F2" s="201"/>
      <c r="G2" s="201"/>
      <c r="H2" s="201"/>
      <c r="I2" s="201"/>
      <c r="J2" s="276" t="s">
        <v>15</v>
      </c>
      <c r="K2" s="277"/>
      <c r="L2" s="277"/>
      <c r="M2" s="277"/>
      <c r="N2" s="277"/>
      <c r="O2" s="277"/>
      <c r="P2" s="277"/>
      <c r="Q2" s="277"/>
      <c r="R2" s="277"/>
      <c r="S2" s="277"/>
      <c r="T2" s="277"/>
      <c r="U2" s="277"/>
      <c r="V2" s="277"/>
      <c r="W2" s="277"/>
      <c r="X2" s="277"/>
      <c r="Y2" s="277"/>
      <c r="Z2" s="277"/>
      <c r="AA2" s="277"/>
      <c r="AB2" s="277"/>
      <c r="AC2" s="277"/>
      <c r="AD2" s="277"/>
      <c r="AE2" s="277"/>
      <c r="AF2" s="277"/>
      <c r="AG2" s="277"/>
      <c r="AH2" s="277"/>
      <c r="AI2" s="277"/>
      <c r="AJ2" s="277"/>
      <c r="AK2" s="277"/>
      <c r="AL2" s="277"/>
      <c r="AM2" s="238"/>
      <c r="AN2" s="1"/>
      <c r="AO2" s="1"/>
      <c r="AP2" s="1"/>
      <c r="AQ2" s="1"/>
      <c r="AR2" s="1"/>
      <c r="AS2" s="1"/>
      <c r="AT2" s="1"/>
    </row>
    <row r="3" spans="2:46" ht="18.75" customHeight="1" x14ac:dyDescent="0.25">
      <c r="B3" s="201"/>
      <c r="C3" s="201"/>
      <c r="D3" s="201"/>
      <c r="E3" s="201"/>
      <c r="F3" s="201"/>
      <c r="G3" s="201"/>
      <c r="H3" s="201"/>
      <c r="I3" s="201"/>
      <c r="J3" s="278"/>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201"/>
      <c r="AL3" s="201"/>
      <c r="AM3" s="279"/>
      <c r="AN3" s="1"/>
      <c r="AO3" s="1"/>
      <c r="AP3" s="1"/>
      <c r="AQ3" s="1"/>
      <c r="AR3" s="1"/>
      <c r="AS3" s="1"/>
      <c r="AT3" s="1"/>
    </row>
    <row r="4" spans="2:46" ht="15" customHeight="1" x14ac:dyDescent="0.25">
      <c r="B4" s="201"/>
      <c r="C4" s="201"/>
      <c r="D4" s="201"/>
      <c r="E4" s="201"/>
      <c r="F4" s="201"/>
      <c r="G4" s="201"/>
      <c r="H4" s="201"/>
      <c r="I4" s="201"/>
      <c r="J4" s="235"/>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40"/>
      <c r="AN4" s="1"/>
      <c r="AO4" s="1"/>
      <c r="AP4" s="1"/>
      <c r="AQ4" s="1"/>
      <c r="AR4" s="1"/>
      <c r="AS4" s="1"/>
      <c r="AT4" s="1"/>
    </row>
    <row r="5" spans="2:46" x14ac:dyDescent="0.2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row>
    <row r="6" spans="2:46" ht="15" customHeight="1" x14ac:dyDescent="0.2">
      <c r="B6" s="281" t="s">
        <v>94</v>
      </c>
      <c r="C6" s="277"/>
      <c r="D6" s="234"/>
      <c r="E6" s="269" t="s">
        <v>95</v>
      </c>
      <c r="F6" s="270"/>
      <c r="G6" s="270"/>
      <c r="H6" s="270"/>
      <c r="I6" s="252"/>
      <c r="J6" s="242" t="str">
        <f>IF(AND('Mapa final'!$H$16="Muy Alta",'Mapa final'!$L$16="Leve"),CONCATENATE("R",'Mapa final'!$A$16),"")</f>
        <v/>
      </c>
      <c r="K6" s="243"/>
      <c r="L6" s="244" t="str">
        <f>IF(AND('Mapa final'!$H$21="Muy Alta",'Mapa final'!$L$21="Leve"),CONCATENATE("R",'Mapa final'!$A$21),"")</f>
        <v/>
      </c>
      <c r="M6" s="243"/>
      <c r="N6" s="244" t="str">
        <f>IF(AND('Mapa final'!$H$26="Muy Alta",'Mapa final'!$L$26="Leve"),CONCATENATE("R",'Mapa final'!$A$26),"")</f>
        <v/>
      </c>
      <c r="O6" s="252"/>
      <c r="P6" s="242" t="str">
        <f>IF(AND('Mapa final'!$H$16="Muy Alta",'Mapa final'!$L$16="Menor"),CONCATENATE("R",'Mapa final'!$A$16),"")</f>
        <v/>
      </c>
      <c r="Q6" s="243"/>
      <c r="R6" s="244" t="str">
        <f>IF(AND('Mapa final'!$H$21="Muy Alta",'Mapa final'!$L$21="Menor"),CONCATENATE("R",'Mapa final'!$A$21),"")</f>
        <v/>
      </c>
      <c r="S6" s="243"/>
      <c r="T6" s="244" t="str">
        <f>IF(AND('Mapa final'!$H$26="Muy Alta",'Mapa final'!$L$26="Menor"),CONCATENATE("R",'Mapa final'!$A$26),"")</f>
        <v/>
      </c>
      <c r="U6" s="252"/>
      <c r="V6" s="242" t="str">
        <f>IF(AND('Mapa final'!$H$16="Muy Alta",'Mapa final'!$L$16="Moderado"),CONCATENATE("R",'Mapa final'!$A$16),"")</f>
        <v/>
      </c>
      <c r="W6" s="243"/>
      <c r="X6" s="244" t="str">
        <f>IF(AND('Mapa final'!$H$21="Muy Alta",'Mapa final'!$L$21="Moderado"),CONCATENATE("R",'Mapa final'!$A$21),"")</f>
        <v/>
      </c>
      <c r="Y6" s="243"/>
      <c r="Z6" s="244" t="str">
        <f>IF(AND('Mapa final'!$H$26="Muy Alta",'Mapa final'!$L$26="Moderado"),CONCATENATE("R",'Mapa final'!$A$26),"")</f>
        <v/>
      </c>
      <c r="AA6" s="252"/>
      <c r="AB6" s="242" t="str">
        <f>IF(AND('Mapa final'!$H$16="Muy Alta",'Mapa final'!$L$16="Mayor"),CONCATENATE("R",'Mapa final'!$A$16),"")</f>
        <v/>
      </c>
      <c r="AC6" s="243"/>
      <c r="AD6" s="244" t="str">
        <f>IF(AND('Mapa final'!$H$21="Muy Alta",'Mapa final'!$L$21="Mayor"),CONCATENATE("R",'Mapa final'!$A$21),"")</f>
        <v/>
      </c>
      <c r="AE6" s="243"/>
      <c r="AF6" s="244" t="str">
        <f>IF(AND('Mapa final'!$H$26="Muy Alta",'Mapa final'!$L$26="Mayor"),CONCATENATE("R",'Mapa final'!$A$26),"")</f>
        <v/>
      </c>
      <c r="AG6" s="252"/>
      <c r="AH6" s="254" t="str">
        <f>IF(AND('Mapa final'!$H$16="Muy Alta",'Mapa final'!$L$16="Catastrófico"),CONCATENATE("R",'Mapa final'!$A$16),"")</f>
        <v/>
      </c>
      <c r="AI6" s="243"/>
      <c r="AJ6" s="246" t="str">
        <f>IF(AND('Mapa final'!$H$21="Muy Alta",'Mapa final'!$L$21="Catastrófico"),CONCATENATE("R",'Mapa final'!$A$21),"")</f>
        <v/>
      </c>
      <c r="AK6" s="243"/>
      <c r="AL6" s="246" t="str">
        <f>IF(AND('Mapa final'!$H$26="Muy Alta",'Mapa final'!$L$26="Catastrófico"),CONCATENATE("R",'Mapa final'!$A$26),"")</f>
        <v/>
      </c>
      <c r="AM6" s="252"/>
      <c r="AO6" s="268" t="s">
        <v>96</v>
      </c>
      <c r="AP6" s="259"/>
      <c r="AQ6" s="259"/>
      <c r="AR6" s="259"/>
      <c r="AS6" s="259"/>
      <c r="AT6" s="260"/>
    </row>
    <row r="7" spans="2:46" ht="15" customHeight="1" x14ac:dyDescent="0.25">
      <c r="B7" s="278"/>
      <c r="C7" s="201"/>
      <c r="D7" s="202"/>
      <c r="E7" s="213"/>
      <c r="F7" s="201"/>
      <c r="G7" s="201"/>
      <c r="H7" s="201"/>
      <c r="I7" s="202"/>
      <c r="J7" s="239"/>
      <c r="K7" s="240"/>
      <c r="L7" s="235"/>
      <c r="M7" s="240"/>
      <c r="N7" s="235"/>
      <c r="O7" s="236"/>
      <c r="P7" s="239"/>
      <c r="Q7" s="240"/>
      <c r="R7" s="235"/>
      <c r="S7" s="240"/>
      <c r="T7" s="235"/>
      <c r="U7" s="236"/>
      <c r="V7" s="239"/>
      <c r="W7" s="240"/>
      <c r="X7" s="235"/>
      <c r="Y7" s="240"/>
      <c r="Z7" s="235"/>
      <c r="AA7" s="236"/>
      <c r="AB7" s="239"/>
      <c r="AC7" s="240"/>
      <c r="AD7" s="235"/>
      <c r="AE7" s="240"/>
      <c r="AF7" s="235"/>
      <c r="AG7" s="236"/>
      <c r="AH7" s="239"/>
      <c r="AI7" s="240"/>
      <c r="AJ7" s="235"/>
      <c r="AK7" s="240"/>
      <c r="AL7" s="235"/>
      <c r="AM7" s="236"/>
      <c r="AN7" s="1"/>
      <c r="AO7" s="261"/>
      <c r="AP7" s="201"/>
      <c r="AQ7" s="201"/>
      <c r="AR7" s="201"/>
      <c r="AS7" s="201"/>
      <c r="AT7" s="262"/>
    </row>
    <row r="8" spans="2:46" ht="15" customHeight="1" x14ac:dyDescent="0.25">
      <c r="B8" s="278"/>
      <c r="C8" s="201"/>
      <c r="D8" s="202"/>
      <c r="E8" s="213"/>
      <c r="F8" s="201"/>
      <c r="G8" s="201"/>
      <c r="H8" s="201"/>
      <c r="I8" s="202"/>
      <c r="J8" s="245" t="str">
        <f>IF(AND('Mapa final'!$H$31="Muy Alta",'Mapa final'!$L$31="Leve"),CONCATENATE("R",'Mapa final'!$A$31),"")</f>
        <v/>
      </c>
      <c r="K8" s="238"/>
      <c r="L8" s="233" t="str">
        <f>IF(AND('Mapa final'!$H$36="Muy Alta",'Mapa final'!$L$36="Leve"),CONCATENATE("R",'Mapa final'!$A$36),"")</f>
        <v/>
      </c>
      <c r="M8" s="238"/>
      <c r="N8" s="233" t="str">
        <f>IF(AND('Mapa final'!$H$41="Muy Alta",'Mapa final'!$L$41="Leve"),CONCATENATE("R",'Mapa final'!$A$41),"")</f>
        <v/>
      </c>
      <c r="O8" s="234"/>
      <c r="P8" s="245" t="str">
        <f>IF(AND('Mapa final'!$H$31="Muy Alta",'Mapa final'!$L$31="Menor"),CONCATENATE("R",'Mapa final'!$A$31),"")</f>
        <v/>
      </c>
      <c r="Q8" s="238"/>
      <c r="R8" s="233" t="str">
        <f>IF(AND('Mapa final'!$H$36="Muy Alta",'Mapa final'!$L$36="Menor"),CONCATENATE("R",'Mapa final'!$A$36),"")</f>
        <v/>
      </c>
      <c r="S8" s="238"/>
      <c r="T8" s="233" t="str">
        <f>IF(AND('Mapa final'!$H$41="Muy Alta",'Mapa final'!$L$41="Menor"),CONCATENATE("R",'Mapa final'!$A$41),"")</f>
        <v/>
      </c>
      <c r="U8" s="234"/>
      <c r="V8" s="245" t="str">
        <f>IF(AND('Mapa final'!$H$31="Muy Alta",'Mapa final'!$L$31="Moderado"),CONCATENATE("R",'Mapa final'!$A$31),"")</f>
        <v/>
      </c>
      <c r="W8" s="238"/>
      <c r="X8" s="233" t="str">
        <f>IF(AND('Mapa final'!$H$36="Muy Alta",'Mapa final'!$L$36="Moderado"),CONCATENATE("R",'Mapa final'!$A$36),"")</f>
        <v/>
      </c>
      <c r="Y8" s="238"/>
      <c r="Z8" s="233" t="str">
        <f>IF(AND('Mapa final'!$H$41="Muy Alta",'Mapa final'!$L$41="Moderado"),CONCATENATE("R",'Mapa final'!$A$41),"")</f>
        <v/>
      </c>
      <c r="AA8" s="234"/>
      <c r="AB8" s="245" t="str">
        <f>IF(AND('Mapa final'!$H$31="Muy Alta",'Mapa final'!$L$31="Mayor"),CONCATENATE("R",'Mapa final'!$A$31),"")</f>
        <v/>
      </c>
      <c r="AC8" s="238"/>
      <c r="AD8" s="233" t="str">
        <f>IF(AND('Mapa final'!$H$36="Muy Alta",'Mapa final'!$L$36="Mayor"),CONCATENATE("R",'Mapa final'!$A$36),"")</f>
        <v/>
      </c>
      <c r="AE8" s="238"/>
      <c r="AF8" s="233" t="str">
        <f>IF(AND('Mapa final'!$H$41="Muy Alta",'Mapa final'!$L$41="Mayor"),CONCATENATE("R",'Mapa final'!$A$41),"")</f>
        <v/>
      </c>
      <c r="AG8" s="234"/>
      <c r="AH8" s="237" t="str">
        <f>IF(AND('Mapa final'!$H$31="Muy Alta",'Mapa final'!$L$31="Catastrófico"),CONCATENATE("R",'Mapa final'!$A$31),"")</f>
        <v/>
      </c>
      <c r="AI8" s="238"/>
      <c r="AJ8" s="241" t="str">
        <f>IF(AND('Mapa final'!$H$36="Muy Alta",'Mapa final'!$L$36="Catastrófico"),CONCATENATE("R",'Mapa final'!$A$36),"")</f>
        <v/>
      </c>
      <c r="AK8" s="238"/>
      <c r="AL8" s="241" t="str">
        <f>IF(AND('Mapa final'!$H$41="Muy Alta",'Mapa final'!$L$41="Catastrófico"),CONCATENATE("R",'Mapa final'!$A$41),"")</f>
        <v/>
      </c>
      <c r="AM8" s="234"/>
      <c r="AN8" s="1"/>
      <c r="AO8" s="261"/>
      <c r="AP8" s="201"/>
      <c r="AQ8" s="201"/>
      <c r="AR8" s="201"/>
      <c r="AS8" s="201"/>
      <c r="AT8" s="262"/>
    </row>
    <row r="9" spans="2:46" ht="15" customHeight="1" x14ac:dyDescent="0.25">
      <c r="B9" s="278"/>
      <c r="C9" s="201"/>
      <c r="D9" s="202"/>
      <c r="E9" s="213"/>
      <c r="F9" s="201"/>
      <c r="G9" s="201"/>
      <c r="H9" s="201"/>
      <c r="I9" s="202"/>
      <c r="J9" s="239"/>
      <c r="K9" s="240"/>
      <c r="L9" s="235"/>
      <c r="M9" s="240"/>
      <c r="N9" s="235"/>
      <c r="O9" s="236"/>
      <c r="P9" s="239"/>
      <c r="Q9" s="240"/>
      <c r="R9" s="235"/>
      <c r="S9" s="240"/>
      <c r="T9" s="235"/>
      <c r="U9" s="236"/>
      <c r="V9" s="239"/>
      <c r="W9" s="240"/>
      <c r="X9" s="235"/>
      <c r="Y9" s="240"/>
      <c r="Z9" s="235"/>
      <c r="AA9" s="236"/>
      <c r="AB9" s="239"/>
      <c r="AC9" s="240"/>
      <c r="AD9" s="235"/>
      <c r="AE9" s="240"/>
      <c r="AF9" s="235"/>
      <c r="AG9" s="236"/>
      <c r="AH9" s="239"/>
      <c r="AI9" s="240"/>
      <c r="AJ9" s="235"/>
      <c r="AK9" s="240"/>
      <c r="AL9" s="235"/>
      <c r="AM9" s="236"/>
      <c r="AN9" s="1"/>
      <c r="AO9" s="261"/>
      <c r="AP9" s="201"/>
      <c r="AQ9" s="201"/>
      <c r="AR9" s="201"/>
      <c r="AS9" s="201"/>
      <c r="AT9" s="262"/>
    </row>
    <row r="10" spans="2:46" ht="15" customHeight="1" x14ac:dyDescent="0.25">
      <c r="B10" s="278"/>
      <c r="C10" s="201"/>
      <c r="D10" s="202"/>
      <c r="E10" s="213"/>
      <c r="F10" s="201"/>
      <c r="G10" s="201"/>
      <c r="H10" s="201"/>
      <c r="I10" s="202"/>
      <c r="J10" s="245" t="e">
        <f>IF(AND('Mapa final'!#REF!="Muy Alta",'Mapa final'!#REF!="Leve"),CONCATENATE("R",'Mapa final'!#REF!),"")</f>
        <v>#REF!</v>
      </c>
      <c r="K10" s="238"/>
      <c r="L10" s="233" t="e">
        <f>IF(AND('Mapa final'!#REF!="Muy Alta",'Mapa final'!#REF!="Leve"),CONCATENATE("R",'Mapa final'!#REF!),"")</f>
        <v>#REF!</v>
      </c>
      <c r="M10" s="238"/>
      <c r="N10" s="233" t="e">
        <f>IF(AND('Mapa final'!#REF!="Muy Alta",'Mapa final'!#REF!="Leve"),CONCATENATE("R",'Mapa final'!#REF!),"")</f>
        <v>#REF!</v>
      </c>
      <c r="O10" s="234"/>
      <c r="P10" s="245" t="e">
        <f>IF(AND('Mapa final'!#REF!="Muy Alta",'Mapa final'!#REF!="Menor"),CONCATENATE("R",'Mapa final'!#REF!),"")</f>
        <v>#REF!</v>
      </c>
      <c r="Q10" s="238"/>
      <c r="R10" s="233" t="e">
        <f>IF(AND('Mapa final'!#REF!="Muy Alta",'Mapa final'!#REF!="Menor"),CONCATENATE("R",'Mapa final'!#REF!),"")</f>
        <v>#REF!</v>
      </c>
      <c r="S10" s="238"/>
      <c r="T10" s="233" t="e">
        <f>IF(AND('Mapa final'!#REF!="Muy Alta",'Mapa final'!#REF!="Menor"),CONCATENATE("R",'Mapa final'!#REF!),"")</f>
        <v>#REF!</v>
      </c>
      <c r="U10" s="234"/>
      <c r="V10" s="245" t="e">
        <f>IF(AND('Mapa final'!#REF!="Muy Alta",'Mapa final'!#REF!="Moderado"),CONCATENATE("R",'Mapa final'!#REF!),"")</f>
        <v>#REF!</v>
      </c>
      <c r="W10" s="238"/>
      <c r="X10" s="233" t="e">
        <f>IF(AND('Mapa final'!#REF!="Muy Alta",'Mapa final'!#REF!="Moderado"),CONCATENATE("R",'Mapa final'!#REF!),"")</f>
        <v>#REF!</v>
      </c>
      <c r="Y10" s="238"/>
      <c r="Z10" s="233" t="e">
        <f>IF(AND('Mapa final'!#REF!="Muy Alta",'Mapa final'!#REF!="Moderado"),CONCATENATE("R",'Mapa final'!#REF!),"")</f>
        <v>#REF!</v>
      </c>
      <c r="AA10" s="234"/>
      <c r="AB10" s="245" t="e">
        <f>IF(AND('Mapa final'!#REF!="Muy Alta",'Mapa final'!#REF!="Mayor"),CONCATENATE("R",'Mapa final'!#REF!),"")</f>
        <v>#REF!</v>
      </c>
      <c r="AC10" s="238"/>
      <c r="AD10" s="233" t="e">
        <f>IF(AND('Mapa final'!#REF!="Muy Alta",'Mapa final'!#REF!="Mayor"),CONCATENATE("R",'Mapa final'!#REF!),"")</f>
        <v>#REF!</v>
      </c>
      <c r="AE10" s="238"/>
      <c r="AF10" s="233" t="e">
        <f>IF(AND('Mapa final'!#REF!="Muy Alta",'Mapa final'!#REF!="Mayor"),CONCATENATE("R",'Mapa final'!#REF!),"")</f>
        <v>#REF!</v>
      </c>
      <c r="AG10" s="234"/>
      <c r="AH10" s="237" t="e">
        <f>IF(AND('Mapa final'!#REF!="Muy Alta",'Mapa final'!#REF!="Catastrófico"),CONCATENATE("R",'Mapa final'!#REF!),"")</f>
        <v>#REF!</v>
      </c>
      <c r="AI10" s="238"/>
      <c r="AJ10" s="241" t="e">
        <f>IF(AND('Mapa final'!#REF!="Muy Alta",'Mapa final'!#REF!="Catastrófico"),CONCATENATE("R",'Mapa final'!#REF!),"")</f>
        <v>#REF!</v>
      </c>
      <c r="AK10" s="238"/>
      <c r="AL10" s="241" t="e">
        <f>IF(AND('Mapa final'!#REF!="Muy Alta",'Mapa final'!#REF!="Catastrófico"),CONCATENATE("R",'Mapa final'!#REF!),"")</f>
        <v>#REF!</v>
      </c>
      <c r="AM10" s="234"/>
      <c r="AN10" s="1"/>
      <c r="AO10" s="261"/>
      <c r="AP10" s="201"/>
      <c r="AQ10" s="201"/>
      <c r="AR10" s="201"/>
      <c r="AS10" s="201"/>
      <c r="AT10" s="262"/>
    </row>
    <row r="11" spans="2:46" ht="15" customHeight="1" x14ac:dyDescent="0.25">
      <c r="B11" s="278"/>
      <c r="C11" s="201"/>
      <c r="D11" s="202"/>
      <c r="E11" s="213"/>
      <c r="F11" s="201"/>
      <c r="G11" s="201"/>
      <c r="H11" s="201"/>
      <c r="I11" s="202"/>
      <c r="J11" s="239"/>
      <c r="K11" s="240"/>
      <c r="L11" s="235"/>
      <c r="M11" s="240"/>
      <c r="N11" s="235"/>
      <c r="O11" s="236"/>
      <c r="P11" s="239"/>
      <c r="Q11" s="240"/>
      <c r="R11" s="235"/>
      <c r="S11" s="240"/>
      <c r="T11" s="235"/>
      <c r="U11" s="236"/>
      <c r="V11" s="239"/>
      <c r="W11" s="240"/>
      <c r="X11" s="235"/>
      <c r="Y11" s="240"/>
      <c r="Z11" s="235"/>
      <c r="AA11" s="236"/>
      <c r="AB11" s="239"/>
      <c r="AC11" s="240"/>
      <c r="AD11" s="235"/>
      <c r="AE11" s="240"/>
      <c r="AF11" s="235"/>
      <c r="AG11" s="236"/>
      <c r="AH11" s="239"/>
      <c r="AI11" s="240"/>
      <c r="AJ11" s="235"/>
      <c r="AK11" s="240"/>
      <c r="AL11" s="235"/>
      <c r="AM11" s="236"/>
      <c r="AN11" s="1"/>
      <c r="AO11" s="261"/>
      <c r="AP11" s="201"/>
      <c r="AQ11" s="201"/>
      <c r="AR11" s="201"/>
      <c r="AS11" s="201"/>
      <c r="AT11" s="262"/>
    </row>
    <row r="12" spans="2:46" ht="15" customHeight="1" x14ac:dyDescent="0.25">
      <c r="B12" s="278"/>
      <c r="C12" s="201"/>
      <c r="D12" s="202"/>
      <c r="E12" s="213"/>
      <c r="F12" s="201"/>
      <c r="G12" s="201"/>
      <c r="H12" s="201"/>
      <c r="I12" s="202"/>
      <c r="J12" s="245" t="e">
        <f>IF(AND('Mapa final'!#REF!="Muy Alta",'Mapa final'!#REF!="Leve"),CONCATENATE("R",'Mapa final'!#REF!),"")</f>
        <v>#REF!</v>
      </c>
      <c r="K12" s="238"/>
      <c r="L12" s="233" t="str">
        <f>IF(AND('Mapa final'!$H$46="Muy Alta",'Mapa final'!$L$46="Leve"),CONCATENATE("R",'Mapa final'!$A$46),"")</f>
        <v/>
      </c>
      <c r="M12" s="238"/>
      <c r="N12" s="233" t="str">
        <f>IF(AND('Mapa final'!$H$52="Muy Alta",'Mapa final'!$L$52="Leve"),CONCATENATE("R",'Mapa final'!$A$52),"")</f>
        <v/>
      </c>
      <c r="O12" s="234"/>
      <c r="P12" s="245" t="e">
        <f>IF(AND('Mapa final'!#REF!="Muy Alta",'Mapa final'!#REF!="Menor"),CONCATENATE("R",'Mapa final'!#REF!),"")</f>
        <v>#REF!</v>
      </c>
      <c r="Q12" s="238"/>
      <c r="R12" s="233" t="str">
        <f>IF(AND('Mapa final'!$H$46="Muy Alta",'Mapa final'!$L$46="Menor"),CONCATENATE("R",'Mapa final'!$A$46),"")</f>
        <v/>
      </c>
      <c r="S12" s="238"/>
      <c r="T12" s="233" t="str">
        <f>IF(AND('Mapa final'!$H$52="Muy Alta",'Mapa final'!$L$52="Menor"),CONCATENATE("R",'Mapa final'!$A$52),"")</f>
        <v/>
      </c>
      <c r="U12" s="234"/>
      <c r="V12" s="245" t="e">
        <f>IF(AND('Mapa final'!#REF!="Muy Alta",'Mapa final'!#REF!="Moderado"),CONCATENATE("R",'Mapa final'!#REF!),"")</f>
        <v>#REF!</v>
      </c>
      <c r="W12" s="238"/>
      <c r="X12" s="233" t="str">
        <f>IF(AND('Mapa final'!$H$46="Muy Alta",'Mapa final'!$L$46="Moderado"),CONCATENATE("R",'Mapa final'!$A$46),"")</f>
        <v/>
      </c>
      <c r="Y12" s="238"/>
      <c r="Z12" s="233" t="str">
        <f>IF(AND('Mapa final'!$H$52="Muy Alta",'Mapa final'!$L$52="Moderado"),CONCATENATE("R",'Mapa final'!$A$52),"")</f>
        <v/>
      </c>
      <c r="AA12" s="234"/>
      <c r="AB12" s="245" t="e">
        <f>IF(AND('Mapa final'!#REF!="Muy Alta",'Mapa final'!#REF!="Mayor"),CONCATENATE("R",'Mapa final'!#REF!),"")</f>
        <v>#REF!</v>
      </c>
      <c r="AC12" s="238"/>
      <c r="AD12" s="233" t="str">
        <f>IF(AND('Mapa final'!$H$46="Muy Alta",'Mapa final'!$L$46="Mayor"),CONCATENATE("R",'Mapa final'!$A$46),"")</f>
        <v/>
      </c>
      <c r="AE12" s="238"/>
      <c r="AF12" s="233" t="str">
        <f>IF(AND('Mapa final'!$H$52="Muy Alta",'Mapa final'!$L$52="Mayor"),CONCATENATE("R",'Mapa final'!$A$52),"")</f>
        <v/>
      </c>
      <c r="AG12" s="234"/>
      <c r="AH12" s="237" t="e">
        <f>IF(AND('Mapa final'!#REF!="Muy Alta",'Mapa final'!#REF!="Catastrófico"),CONCATENATE("R",'Mapa final'!#REF!),"")</f>
        <v>#REF!</v>
      </c>
      <c r="AI12" s="238"/>
      <c r="AJ12" s="241" t="str">
        <f>IF(AND('Mapa final'!$H$46="Muy Alta",'Mapa final'!$L$46="Catastrófico"),CONCATENATE("R",'Mapa final'!$A$46),"")</f>
        <v/>
      </c>
      <c r="AK12" s="238"/>
      <c r="AL12" s="241" t="str">
        <f>IF(AND('Mapa final'!$H$52="Muy Alta",'Mapa final'!$L$52="Catastrófico"),CONCATENATE("R",'Mapa final'!$A$52),"")</f>
        <v/>
      </c>
      <c r="AM12" s="234"/>
      <c r="AN12" s="1"/>
      <c r="AO12" s="261"/>
      <c r="AP12" s="201"/>
      <c r="AQ12" s="201"/>
      <c r="AR12" s="201"/>
      <c r="AS12" s="201"/>
      <c r="AT12" s="262"/>
    </row>
    <row r="13" spans="2:46" ht="15.75" customHeight="1" x14ac:dyDescent="0.25">
      <c r="B13" s="278"/>
      <c r="C13" s="201"/>
      <c r="D13" s="202"/>
      <c r="E13" s="247"/>
      <c r="F13" s="271"/>
      <c r="G13" s="271"/>
      <c r="H13" s="271"/>
      <c r="I13" s="250"/>
      <c r="J13" s="239"/>
      <c r="K13" s="240"/>
      <c r="L13" s="235"/>
      <c r="M13" s="240"/>
      <c r="N13" s="235"/>
      <c r="O13" s="236"/>
      <c r="P13" s="239"/>
      <c r="Q13" s="240"/>
      <c r="R13" s="235"/>
      <c r="S13" s="240"/>
      <c r="T13" s="235"/>
      <c r="U13" s="236"/>
      <c r="V13" s="239"/>
      <c r="W13" s="240"/>
      <c r="X13" s="235"/>
      <c r="Y13" s="240"/>
      <c r="Z13" s="235"/>
      <c r="AA13" s="236"/>
      <c r="AB13" s="239"/>
      <c r="AC13" s="240"/>
      <c r="AD13" s="235"/>
      <c r="AE13" s="240"/>
      <c r="AF13" s="235"/>
      <c r="AG13" s="236"/>
      <c r="AH13" s="247"/>
      <c r="AI13" s="248"/>
      <c r="AJ13" s="249"/>
      <c r="AK13" s="248"/>
      <c r="AL13" s="249"/>
      <c r="AM13" s="250"/>
      <c r="AN13" s="1"/>
      <c r="AO13" s="263"/>
      <c r="AP13" s="264"/>
      <c r="AQ13" s="264"/>
      <c r="AR13" s="264"/>
      <c r="AS13" s="264"/>
      <c r="AT13" s="265"/>
    </row>
    <row r="14" spans="2:46" ht="15" customHeight="1" x14ac:dyDescent="0.25">
      <c r="B14" s="278"/>
      <c r="C14" s="201"/>
      <c r="D14" s="202"/>
      <c r="E14" s="269" t="s">
        <v>97</v>
      </c>
      <c r="F14" s="270"/>
      <c r="G14" s="270"/>
      <c r="H14" s="270"/>
      <c r="I14" s="270"/>
      <c r="J14" s="253" t="str">
        <f>IF(AND('Mapa final'!$H$16="Alta",'Mapa final'!$L$16="Leve"),CONCATENATE("R",'Mapa final'!$A$16),"")</f>
        <v/>
      </c>
      <c r="K14" s="243"/>
      <c r="L14" s="251" t="str">
        <f>IF(AND('Mapa final'!$H$21="Alta",'Mapa final'!$L$21="Leve"),CONCATENATE("R",'Mapa final'!$A$21),"")</f>
        <v/>
      </c>
      <c r="M14" s="243"/>
      <c r="N14" s="251" t="str">
        <f>IF(AND('Mapa final'!$H$26="Alta",'Mapa final'!$L$26="Leve"),CONCATENATE("R",'Mapa final'!$A$26),"")</f>
        <v/>
      </c>
      <c r="O14" s="252"/>
      <c r="P14" s="253" t="str">
        <f>IF(AND('Mapa final'!$H$16="Alta",'Mapa final'!$L$16="Menor"),CONCATENATE("R",'Mapa final'!$A$16),"")</f>
        <v/>
      </c>
      <c r="Q14" s="243"/>
      <c r="R14" s="251" t="str">
        <f>IF(AND('Mapa final'!$H$21="Alta",'Mapa final'!$L$21="Menor"),CONCATENATE("R",'Mapa final'!$A$21),"")</f>
        <v/>
      </c>
      <c r="S14" s="243"/>
      <c r="T14" s="251" t="str">
        <f>IF(AND('Mapa final'!$H$26="Alta",'Mapa final'!$L$26="Menor"),CONCATENATE("R",'Mapa final'!$A$26),"")</f>
        <v/>
      </c>
      <c r="U14" s="252"/>
      <c r="V14" s="242" t="str">
        <f>IF(AND('Mapa final'!$H$16="Alta",'Mapa final'!$L$16="Moderado"),CONCATENATE("R",'Mapa final'!$A$16),"")</f>
        <v/>
      </c>
      <c r="W14" s="243"/>
      <c r="X14" s="244" t="str">
        <f>IF(AND('Mapa final'!$H$21="Alta",'Mapa final'!$L$21="Moderado"),CONCATENATE("R",'Mapa final'!$A$21),"")</f>
        <v/>
      </c>
      <c r="Y14" s="243"/>
      <c r="Z14" s="244" t="str">
        <f>IF(AND('Mapa final'!$H$26="Alta",'Mapa final'!$L$26="Moderado"),CONCATENATE("R",'Mapa final'!$A$26),"")</f>
        <v/>
      </c>
      <c r="AA14" s="252"/>
      <c r="AB14" s="242" t="str">
        <f>IF(AND('Mapa final'!$H$16="Alta",'Mapa final'!$L$16="Mayor"),CONCATENATE("R",'Mapa final'!$A$16),"")</f>
        <v/>
      </c>
      <c r="AC14" s="243"/>
      <c r="AD14" s="244" t="str">
        <f>IF(AND('Mapa final'!$H$21="Alta",'Mapa final'!$L$21="Mayor"),CONCATENATE("R",'Mapa final'!$A$21),"")</f>
        <v>R2</v>
      </c>
      <c r="AE14" s="243"/>
      <c r="AF14" s="244" t="str">
        <f>IF(AND('Mapa final'!$H$26="Alta",'Mapa final'!$L$26="Mayor"),CONCATENATE("R",'Mapa final'!$A$26),"")</f>
        <v/>
      </c>
      <c r="AG14" s="252"/>
      <c r="AH14" s="254" t="str">
        <f>IF(AND('Mapa final'!$H$16="Alta",'Mapa final'!$L$16="Catastrófico"),CONCATENATE("R",'Mapa final'!$A$16),"")</f>
        <v>R1</v>
      </c>
      <c r="AI14" s="243"/>
      <c r="AJ14" s="246" t="str">
        <f>IF(AND('Mapa final'!$H$21="Alta",'Mapa final'!$L$21="Catastrófico"),CONCATENATE("R",'Mapa final'!$A$21),"")</f>
        <v/>
      </c>
      <c r="AK14" s="243"/>
      <c r="AL14" s="246" t="str">
        <f>IF(AND('Mapa final'!$H$26="Alta",'Mapa final'!$L$26="Catastrófico"),CONCATENATE("R",'Mapa final'!$A$26),"")</f>
        <v/>
      </c>
      <c r="AM14" s="252"/>
      <c r="AN14" s="1"/>
      <c r="AO14" s="266" t="s">
        <v>98</v>
      </c>
      <c r="AP14" s="259"/>
      <c r="AQ14" s="259"/>
      <c r="AR14" s="259"/>
      <c r="AS14" s="259"/>
      <c r="AT14" s="260"/>
    </row>
    <row r="15" spans="2:46" ht="15" customHeight="1" x14ac:dyDescent="0.25">
      <c r="B15" s="278"/>
      <c r="C15" s="201"/>
      <c r="D15" s="202"/>
      <c r="E15" s="213"/>
      <c r="F15" s="201"/>
      <c r="G15" s="201"/>
      <c r="H15" s="201"/>
      <c r="I15" s="201"/>
      <c r="J15" s="239"/>
      <c r="K15" s="240"/>
      <c r="L15" s="235"/>
      <c r="M15" s="240"/>
      <c r="N15" s="235"/>
      <c r="O15" s="236"/>
      <c r="P15" s="239"/>
      <c r="Q15" s="240"/>
      <c r="R15" s="235"/>
      <c r="S15" s="240"/>
      <c r="T15" s="235"/>
      <c r="U15" s="236"/>
      <c r="V15" s="239"/>
      <c r="W15" s="240"/>
      <c r="X15" s="235"/>
      <c r="Y15" s="240"/>
      <c r="Z15" s="235"/>
      <c r="AA15" s="236"/>
      <c r="AB15" s="239"/>
      <c r="AC15" s="240"/>
      <c r="AD15" s="235"/>
      <c r="AE15" s="240"/>
      <c r="AF15" s="235"/>
      <c r="AG15" s="236"/>
      <c r="AH15" s="239"/>
      <c r="AI15" s="240"/>
      <c r="AJ15" s="235"/>
      <c r="AK15" s="240"/>
      <c r="AL15" s="235"/>
      <c r="AM15" s="236"/>
      <c r="AN15" s="1"/>
      <c r="AO15" s="261"/>
      <c r="AP15" s="201"/>
      <c r="AQ15" s="201"/>
      <c r="AR15" s="201"/>
      <c r="AS15" s="201"/>
      <c r="AT15" s="262"/>
    </row>
    <row r="16" spans="2:46" ht="15" customHeight="1" x14ac:dyDescent="0.25">
      <c r="B16" s="278"/>
      <c r="C16" s="201"/>
      <c r="D16" s="202"/>
      <c r="E16" s="213"/>
      <c r="F16" s="201"/>
      <c r="G16" s="201"/>
      <c r="H16" s="201"/>
      <c r="I16" s="201"/>
      <c r="J16" s="257" t="str">
        <f>IF(AND('Mapa final'!$H$31="Alta",'Mapa final'!$L$31="Leve"),CONCATENATE("R",'Mapa final'!$A$31),"")</f>
        <v/>
      </c>
      <c r="K16" s="238"/>
      <c r="L16" s="256" t="str">
        <f>IF(AND('Mapa final'!$H$36="Alta",'Mapa final'!$L$36="Leve"),CONCATENATE("R",'Mapa final'!$A$36),"")</f>
        <v/>
      </c>
      <c r="M16" s="238"/>
      <c r="N16" s="256" t="str">
        <f>IF(AND('Mapa final'!$H$41="Alta",'Mapa final'!$L$41="Leve"),CONCATENATE("R",'Mapa final'!$A$41),"")</f>
        <v/>
      </c>
      <c r="O16" s="234"/>
      <c r="P16" s="257" t="str">
        <f>IF(AND('Mapa final'!$H$31="Alta",'Mapa final'!$L$31="Menor"),CONCATENATE("R",'Mapa final'!$A$31),"")</f>
        <v/>
      </c>
      <c r="Q16" s="238"/>
      <c r="R16" s="256" t="str">
        <f>IF(AND('Mapa final'!$H$36="Alta",'Mapa final'!$L$36="Menor"),CONCATENATE("R",'Mapa final'!$A$36),"")</f>
        <v/>
      </c>
      <c r="S16" s="238"/>
      <c r="T16" s="256" t="str">
        <f>IF(AND('Mapa final'!$H$41="Alta",'Mapa final'!$L$41="Menor"),CONCATENATE("R",'Mapa final'!$A$41),"")</f>
        <v/>
      </c>
      <c r="U16" s="234"/>
      <c r="V16" s="245" t="str">
        <f>IF(AND('Mapa final'!$H$31="Alta",'Mapa final'!$L$31="Moderado"),CONCATENATE("R",'Mapa final'!$A$31),"")</f>
        <v/>
      </c>
      <c r="W16" s="238"/>
      <c r="X16" s="233" t="str">
        <f>IF(AND('Mapa final'!$H$36="Alta",'Mapa final'!$L$36="Moderado"),CONCATENATE("R",'Mapa final'!$A$36),"")</f>
        <v/>
      </c>
      <c r="Y16" s="238"/>
      <c r="Z16" s="233" t="str">
        <f>IF(AND('Mapa final'!$H$41="Alta",'Mapa final'!$L$41="Moderado"),CONCATENATE("R",'Mapa final'!$A$41),"")</f>
        <v/>
      </c>
      <c r="AA16" s="234"/>
      <c r="AB16" s="245" t="str">
        <f>IF(AND('Mapa final'!$H$31="Alta",'Mapa final'!$L$31="Mayor"),CONCATENATE("R",'Mapa final'!$A$31),"")</f>
        <v/>
      </c>
      <c r="AC16" s="238"/>
      <c r="AD16" s="233" t="str">
        <f>IF(AND('Mapa final'!$H$36="Alta",'Mapa final'!$L$36="Mayor"),CONCATENATE("R",'Mapa final'!$A$36),"")</f>
        <v/>
      </c>
      <c r="AE16" s="238"/>
      <c r="AF16" s="233" t="str">
        <f>IF(AND('Mapa final'!$H$41="Alta",'Mapa final'!$L$41="Mayor"),CONCATENATE("R",'Mapa final'!$A$41),"")</f>
        <v/>
      </c>
      <c r="AG16" s="234"/>
      <c r="AH16" s="237" t="str">
        <f>IF(AND('Mapa final'!$H$31="Alta",'Mapa final'!$L$31="Catastrófico"),CONCATENATE("R",'Mapa final'!$A$31),"")</f>
        <v/>
      </c>
      <c r="AI16" s="238"/>
      <c r="AJ16" s="241" t="str">
        <f>IF(AND('Mapa final'!$H$36="Alta",'Mapa final'!$L$36="Catastrófico"),CONCATENATE("R",'Mapa final'!$A$36),"")</f>
        <v/>
      </c>
      <c r="AK16" s="238"/>
      <c r="AL16" s="241" t="str">
        <f>IF(AND('Mapa final'!$H$41="Alta",'Mapa final'!$L$41="Catastrófico"),CONCATENATE("R",'Mapa final'!$A$41),"")</f>
        <v/>
      </c>
      <c r="AM16" s="234"/>
      <c r="AN16" s="1"/>
      <c r="AO16" s="261"/>
      <c r="AP16" s="201"/>
      <c r="AQ16" s="201"/>
      <c r="AR16" s="201"/>
      <c r="AS16" s="201"/>
      <c r="AT16" s="262"/>
    </row>
    <row r="17" spans="2:46" ht="15" customHeight="1" x14ac:dyDescent="0.25">
      <c r="B17" s="278"/>
      <c r="C17" s="201"/>
      <c r="D17" s="202"/>
      <c r="E17" s="213"/>
      <c r="F17" s="201"/>
      <c r="G17" s="201"/>
      <c r="H17" s="201"/>
      <c r="I17" s="201"/>
      <c r="J17" s="239"/>
      <c r="K17" s="240"/>
      <c r="L17" s="235"/>
      <c r="M17" s="240"/>
      <c r="N17" s="235"/>
      <c r="O17" s="236"/>
      <c r="P17" s="239"/>
      <c r="Q17" s="240"/>
      <c r="R17" s="235"/>
      <c r="S17" s="240"/>
      <c r="T17" s="235"/>
      <c r="U17" s="236"/>
      <c r="V17" s="239"/>
      <c r="W17" s="240"/>
      <c r="X17" s="235"/>
      <c r="Y17" s="240"/>
      <c r="Z17" s="235"/>
      <c r="AA17" s="236"/>
      <c r="AB17" s="239"/>
      <c r="AC17" s="240"/>
      <c r="AD17" s="235"/>
      <c r="AE17" s="240"/>
      <c r="AF17" s="235"/>
      <c r="AG17" s="236"/>
      <c r="AH17" s="239"/>
      <c r="AI17" s="240"/>
      <c r="AJ17" s="235"/>
      <c r="AK17" s="240"/>
      <c r="AL17" s="235"/>
      <c r="AM17" s="236"/>
      <c r="AN17" s="1"/>
      <c r="AO17" s="261"/>
      <c r="AP17" s="201"/>
      <c r="AQ17" s="201"/>
      <c r="AR17" s="201"/>
      <c r="AS17" s="201"/>
      <c r="AT17" s="262"/>
    </row>
    <row r="18" spans="2:46" ht="15" customHeight="1" x14ac:dyDescent="0.25">
      <c r="B18" s="278"/>
      <c r="C18" s="201"/>
      <c r="D18" s="202"/>
      <c r="E18" s="213"/>
      <c r="F18" s="201"/>
      <c r="G18" s="201"/>
      <c r="H18" s="201"/>
      <c r="I18" s="201"/>
      <c r="J18" s="257" t="e">
        <f>IF(AND('Mapa final'!#REF!="Alta",'Mapa final'!#REF!="Leve"),CONCATENATE("R",'Mapa final'!#REF!),"")</f>
        <v>#REF!</v>
      </c>
      <c r="K18" s="238"/>
      <c r="L18" s="256" t="e">
        <f>IF(AND('Mapa final'!#REF!="Alta",'Mapa final'!#REF!="Leve"),CONCATENATE("R",'Mapa final'!#REF!),"")</f>
        <v>#REF!</v>
      </c>
      <c r="M18" s="238"/>
      <c r="N18" s="256" t="e">
        <f>IF(AND('Mapa final'!#REF!="Alta",'Mapa final'!#REF!="Leve"),CONCATENATE("R",'Mapa final'!#REF!),"")</f>
        <v>#REF!</v>
      </c>
      <c r="O18" s="234"/>
      <c r="P18" s="257" t="e">
        <f>IF(AND('Mapa final'!#REF!="Alta",'Mapa final'!#REF!="Menor"),CONCATENATE("R",'Mapa final'!#REF!),"")</f>
        <v>#REF!</v>
      </c>
      <c r="Q18" s="238"/>
      <c r="R18" s="256" t="e">
        <f>IF(AND('Mapa final'!#REF!="Alta",'Mapa final'!#REF!="Menor"),CONCATENATE("R",'Mapa final'!#REF!),"")</f>
        <v>#REF!</v>
      </c>
      <c r="S18" s="238"/>
      <c r="T18" s="256" t="e">
        <f>IF(AND('Mapa final'!#REF!="Alta",'Mapa final'!#REF!="Menor"),CONCATENATE("R",'Mapa final'!#REF!),"")</f>
        <v>#REF!</v>
      </c>
      <c r="U18" s="234"/>
      <c r="V18" s="245" t="e">
        <f>IF(AND('Mapa final'!#REF!="Alta",'Mapa final'!#REF!="Moderado"),CONCATENATE("R",'Mapa final'!#REF!),"")</f>
        <v>#REF!</v>
      </c>
      <c r="W18" s="238"/>
      <c r="X18" s="233" t="e">
        <f>IF(AND('Mapa final'!#REF!="Alta",'Mapa final'!#REF!="Moderado"),CONCATENATE("R",'Mapa final'!#REF!),"")</f>
        <v>#REF!</v>
      </c>
      <c r="Y18" s="238"/>
      <c r="Z18" s="233" t="e">
        <f>IF(AND('Mapa final'!#REF!="Alta",'Mapa final'!#REF!="Moderado"),CONCATENATE("R",'Mapa final'!#REF!),"")</f>
        <v>#REF!</v>
      </c>
      <c r="AA18" s="234"/>
      <c r="AB18" s="245" t="e">
        <f>IF(AND('Mapa final'!#REF!="Alta",'Mapa final'!#REF!="Mayor"),CONCATENATE("R",'Mapa final'!#REF!),"")</f>
        <v>#REF!</v>
      </c>
      <c r="AC18" s="238"/>
      <c r="AD18" s="233" t="e">
        <f>IF(AND('Mapa final'!#REF!="Alta",'Mapa final'!#REF!="Mayor"),CONCATENATE("R",'Mapa final'!#REF!),"")</f>
        <v>#REF!</v>
      </c>
      <c r="AE18" s="238"/>
      <c r="AF18" s="233" t="e">
        <f>IF(AND('Mapa final'!#REF!="Alta",'Mapa final'!#REF!="Mayor"),CONCATENATE("R",'Mapa final'!#REF!),"")</f>
        <v>#REF!</v>
      </c>
      <c r="AG18" s="234"/>
      <c r="AH18" s="237" t="e">
        <f>IF(AND('Mapa final'!#REF!="Alta",'Mapa final'!#REF!="Catastrófico"),CONCATENATE("R",'Mapa final'!#REF!),"")</f>
        <v>#REF!</v>
      </c>
      <c r="AI18" s="238"/>
      <c r="AJ18" s="241" t="e">
        <f>IF(AND('Mapa final'!#REF!="Alta",'Mapa final'!#REF!="Catastrófico"),CONCATENATE("R",'Mapa final'!#REF!),"")</f>
        <v>#REF!</v>
      </c>
      <c r="AK18" s="238"/>
      <c r="AL18" s="241" t="e">
        <f>IF(AND('Mapa final'!#REF!="Alta",'Mapa final'!#REF!="Catastrófico"),CONCATENATE("R",'Mapa final'!#REF!),"")</f>
        <v>#REF!</v>
      </c>
      <c r="AM18" s="234"/>
      <c r="AN18" s="1"/>
      <c r="AO18" s="261"/>
      <c r="AP18" s="201"/>
      <c r="AQ18" s="201"/>
      <c r="AR18" s="201"/>
      <c r="AS18" s="201"/>
      <c r="AT18" s="262"/>
    </row>
    <row r="19" spans="2:46" ht="15" customHeight="1" x14ac:dyDescent="0.25">
      <c r="B19" s="278"/>
      <c r="C19" s="201"/>
      <c r="D19" s="202"/>
      <c r="E19" s="213"/>
      <c r="F19" s="201"/>
      <c r="G19" s="201"/>
      <c r="H19" s="201"/>
      <c r="I19" s="201"/>
      <c r="J19" s="239"/>
      <c r="K19" s="240"/>
      <c r="L19" s="235"/>
      <c r="M19" s="240"/>
      <c r="N19" s="235"/>
      <c r="O19" s="236"/>
      <c r="P19" s="239"/>
      <c r="Q19" s="240"/>
      <c r="R19" s="235"/>
      <c r="S19" s="240"/>
      <c r="T19" s="235"/>
      <c r="U19" s="236"/>
      <c r="V19" s="239"/>
      <c r="W19" s="240"/>
      <c r="X19" s="235"/>
      <c r="Y19" s="240"/>
      <c r="Z19" s="235"/>
      <c r="AA19" s="236"/>
      <c r="AB19" s="239"/>
      <c r="AC19" s="240"/>
      <c r="AD19" s="235"/>
      <c r="AE19" s="240"/>
      <c r="AF19" s="235"/>
      <c r="AG19" s="236"/>
      <c r="AH19" s="239"/>
      <c r="AI19" s="240"/>
      <c r="AJ19" s="235"/>
      <c r="AK19" s="240"/>
      <c r="AL19" s="235"/>
      <c r="AM19" s="236"/>
      <c r="AN19" s="1"/>
      <c r="AO19" s="261"/>
      <c r="AP19" s="201"/>
      <c r="AQ19" s="201"/>
      <c r="AR19" s="201"/>
      <c r="AS19" s="201"/>
      <c r="AT19" s="262"/>
    </row>
    <row r="20" spans="2:46" ht="15" customHeight="1" x14ac:dyDescent="0.25">
      <c r="B20" s="278"/>
      <c r="C20" s="201"/>
      <c r="D20" s="202"/>
      <c r="E20" s="213"/>
      <c r="F20" s="201"/>
      <c r="G20" s="201"/>
      <c r="H20" s="201"/>
      <c r="I20" s="201"/>
      <c r="J20" s="257" t="e">
        <f>IF(AND('Mapa final'!#REF!="Alta",'Mapa final'!#REF!="Leve"),CONCATENATE("R",'Mapa final'!#REF!),"")</f>
        <v>#REF!</v>
      </c>
      <c r="K20" s="238"/>
      <c r="L20" s="256" t="str">
        <f>IF(AND('Mapa final'!$H$46="Alta",'Mapa final'!$L$46="Leve"),CONCATENATE("R",'Mapa final'!$A$46),"")</f>
        <v/>
      </c>
      <c r="M20" s="238"/>
      <c r="N20" s="256" t="str">
        <f>IF(AND('Mapa final'!$H$52="Alta",'Mapa final'!$L$52="Leve"),CONCATENATE("R",'Mapa final'!$A$52),"")</f>
        <v/>
      </c>
      <c r="O20" s="234"/>
      <c r="P20" s="257" t="e">
        <f>IF(AND('Mapa final'!#REF!="Alta",'Mapa final'!#REF!="Menor"),CONCATENATE("R",'Mapa final'!#REF!),"")</f>
        <v>#REF!</v>
      </c>
      <c r="Q20" s="238"/>
      <c r="R20" s="256" t="str">
        <f>IF(AND('Mapa final'!$H$46="Alta",'Mapa final'!$L$46="Menor"),CONCATENATE("R",'Mapa final'!$A$46),"")</f>
        <v/>
      </c>
      <c r="S20" s="238"/>
      <c r="T20" s="256" t="str">
        <f>IF(AND('Mapa final'!$H$52="Alta",'Mapa final'!$L$52="Menor"),CONCATENATE("R",'Mapa final'!$A$52),"")</f>
        <v/>
      </c>
      <c r="U20" s="234"/>
      <c r="V20" s="245" t="e">
        <f>IF(AND('Mapa final'!#REF!="Alta",'Mapa final'!#REF!="Moderado"),CONCATENATE("R",'Mapa final'!#REF!),"")</f>
        <v>#REF!</v>
      </c>
      <c r="W20" s="238"/>
      <c r="X20" s="233" t="str">
        <f>IF(AND('Mapa final'!$H$46="Alta",'Mapa final'!$L$46="Moderado"),CONCATENATE("R",'Mapa final'!$A$46),"")</f>
        <v/>
      </c>
      <c r="Y20" s="238"/>
      <c r="Z20" s="233" t="str">
        <f>IF(AND('Mapa final'!$H$52="Alta",'Mapa final'!$L$52="Moderado"),CONCATENATE("R",'Mapa final'!$A$52),"")</f>
        <v/>
      </c>
      <c r="AA20" s="234"/>
      <c r="AB20" s="245" t="e">
        <f>IF(AND('Mapa final'!#REF!="Alta",'Mapa final'!#REF!="Mayor"),CONCATENATE("R",'Mapa final'!#REF!),"")</f>
        <v>#REF!</v>
      </c>
      <c r="AC20" s="238"/>
      <c r="AD20" s="233" t="str">
        <f>IF(AND('Mapa final'!$H$46="Alta",'Mapa final'!$L$46="Mayor"),CONCATENATE("R",'Mapa final'!$A$46),"")</f>
        <v/>
      </c>
      <c r="AE20" s="238"/>
      <c r="AF20" s="233" t="str">
        <f>IF(AND('Mapa final'!$H$52="Alta",'Mapa final'!$L$52="Mayor"),CONCATENATE("R",'Mapa final'!$A$52),"")</f>
        <v/>
      </c>
      <c r="AG20" s="234"/>
      <c r="AH20" s="237" t="e">
        <f>IF(AND('Mapa final'!#REF!="Alta",'Mapa final'!#REF!="Catastrófico"),CONCATENATE("R",'Mapa final'!#REF!),"")</f>
        <v>#REF!</v>
      </c>
      <c r="AI20" s="238"/>
      <c r="AJ20" s="241" t="str">
        <f>IF(AND('Mapa final'!$H$46="Alta",'Mapa final'!$L$46="Catastrófico"),CONCATENATE("R",'Mapa final'!$A$46),"")</f>
        <v/>
      </c>
      <c r="AK20" s="238"/>
      <c r="AL20" s="241" t="str">
        <f>IF(AND('Mapa final'!$H$52="Alta",'Mapa final'!$L$52="Catastrófico"),CONCATENATE("R",'Mapa final'!$A$52),"")</f>
        <v/>
      </c>
      <c r="AM20" s="234"/>
      <c r="AN20" s="1"/>
      <c r="AO20" s="261"/>
      <c r="AP20" s="201"/>
      <c r="AQ20" s="201"/>
      <c r="AR20" s="201"/>
      <c r="AS20" s="201"/>
      <c r="AT20" s="262"/>
    </row>
    <row r="21" spans="2:46" ht="15.75" customHeight="1" x14ac:dyDescent="0.25">
      <c r="B21" s="278"/>
      <c r="C21" s="201"/>
      <c r="D21" s="202"/>
      <c r="E21" s="247"/>
      <c r="F21" s="271"/>
      <c r="G21" s="271"/>
      <c r="H21" s="271"/>
      <c r="I21" s="271"/>
      <c r="J21" s="247"/>
      <c r="K21" s="248"/>
      <c r="L21" s="249"/>
      <c r="M21" s="248"/>
      <c r="N21" s="249"/>
      <c r="O21" s="250"/>
      <c r="P21" s="247"/>
      <c r="Q21" s="248"/>
      <c r="R21" s="249"/>
      <c r="S21" s="248"/>
      <c r="T21" s="249"/>
      <c r="U21" s="250"/>
      <c r="V21" s="247"/>
      <c r="W21" s="248"/>
      <c r="X21" s="249"/>
      <c r="Y21" s="248"/>
      <c r="Z21" s="249"/>
      <c r="AA21" s="250"/>
      <c r="AB21" s="247"/>
      <c r="AC21" s="248"/>
      <c r="AD21" s="249"/>
      <c r="AE21" s="248"/>
      <c r="AF21" s="249"/>
      <c r="AG21" s="250"/>
      <c r="AH21" s="247"/>
      <c r="AI21" s="248"/>
      <c r="AJ21" s="249"/>
      <c r="AK21" s="248"/>
      <c r="AL21" s="249"/>
      <c r="AM21" s="250"/>
      <c r="AN21" s="1"/>
      <c r="AO21" s="263"/>
      <c r="AP21" s="264"/>
      <c r="AQ21" s="264"/>
      <c r="AR21" s="264"/>
      <c r="AS21" s="264"/>
      <c r="AT21" s="265"/>
    </row>
    <row r="22" spans="2:46" ht="15.75" customHeight="1" x14ac:dyDescent="0.25">
      <c r="B22" s="278"/>
      <c r="C22" s="201"/>
      <c r="D22" s="202"/>
      <c r="E22" s="269" t="s">
        <v>99</v>
      </c>
      <c r="F22" s="270"/>
      <c r="G22" s="270"/>
      <c r="H22" s="270"/>
      <c r="I22" s="252"/>
      <c r="J22" s="253" t="str">
        <f>IF(AND('Mapa final'!$H$16="Media",'Mapa final'!$L$16="Leve"),CONCATENATE("R",'Mapa final'!$A$16),"")</f>
        <v/>
      </c>
      <c r="K22" s="243"/>
      <c r="L22" s="251" t="str">
        <f>IF(AND('Mapa final'!$H$21="Media",'Mapa final'!$L$21="Leve"),CONCATENATE("R",'Mapa final'!$A$21),"")</f>
        <v/>
      </c>
      <c r="M22" s="243"/>
      <c r="N22" s="251" t="str">
        <f>IF(AND('Mapa final'!$H$26="Media",'Mapa final'!$L$26="Leve"),CONCATENATE("R",'Mapa final'!$A$26),"")</f>
        <v/>
      </c>
      <c r="O22" s="252"/>
      <c r="P22" s="253" t="str">
        <f>IF(AND('Mapa final'!$H$16="Media",'Mapa final'!$L$16="Menor"),CONCATENATE("R",'Mapa final'!$A$16),"")</f>
        <v/>
      </c>
      <c r="Q22" s="243"/>
      <c r="R22" s="251" t="str">
        <f>IF(AND('Mapa final'!$H$21="Media",'Mapa final'!$L$21="Menor"),CONCATENATE("R",'Mapa final'!$A$21),"")</f>
        <v/>
      </c>
      <c r="S22" s="243"/>
      <c r="T22" s="251" t="str">
        <f>IF(AND('Mapa final'!$H$26="Media",'Mapa final'!$L$26="Menor"),CONCATENATE("R",'Mapa final'!$A$26),"")</f>
        <v/>
      </c>
      <c r="U22" s="252"/>
      <c r="V22" s="253" t="str">
        <f>IF(AND('Mapa final'!$H$16="Media",'Mapa final'!$L$16="Moderado"),CONCATENATE("R",'Mapa final'!$A$16),"")</f>
        <v/>
      </c>
      <c r="W22" s="243"/>
      <c r="X22" s="251" t="str">
        <f>IF(AND('Mapa final'!$H$21="Media",'Mapa final'!$L$21="Moderado"),CONCATENATE("R",'Mapa final'!$A$21),"")</f>
        <v/>
      </c>
      <c r="Y22" s="243"/>
      <c r="Z22" s="251" t="str">
        <f>IF(AND('Mapa final'!$H$26="Media",'Mapa final'!$L$26="Moderado"),CONCATENATE("R",'Mapa final'!$A$26),"")</f>
        <v/>
      </c>
      <c r="AA22" s="252"/>
      <c r="AB22" s="242" t="str">
        <f>IF(AND('Mapa final'!$H$16="Media",'Mapa final'!$L$16="Mayor"),CONCATENATE("R",'Mapa final'!$A$16),"")</f>
        <v/>
      </c>
      <c r="AC22" s="243"/>
      <c r="AD22" s="244" t="str">
        <f>IF(AND('Mapa final'!$H$21="Media",'Mapa final'!$L$21="Mayor"),CONCATENATE("R",'Mapa final'!$A$21),"")</f>
        <v/>
      </c>
      <c r="AE22" s="243"/>
      <c r="AF22" s="244" t="str">
        <f>IF(AND('Mapa final'!$H$26="Media",'Mapa final'!$L$26="Mayor"),CONCATENATE("R",'Mapa final'!$A$26),"")</f>
        <v>R2</v>
      </c>
      <c r="AG22" s="252"/>
      <c r="AH22" s="254" t="str">
        <f>IF(AND('Mapa final'!$H$16="Media",'Mapa final'!$L$16="Catastrófico"),CONCATENATE("R",'Mapa final'!$A$16),"")</f>
        <v/>
      </c>
      <c r="AI22" s="243"/>
      <c r="AJ22" s="246" t="str">
        <f>IF(AND('Mapa final'!$H$21="Media",'Mapa final'!$L$21="Catastrófico"),CONCATENATE("R",'Mapa final'!$A$21),"")</f>
        <v/>
      </c>
      <c r="AK22" s="243"/>
      <c r="AL22" s="246" t="str">
        <f>IF(AND('Mapa final'!$H$26="Media",'Mapa final'!$L$26="Catastrófico"),CONCATENATE("R",'Mapa final'!$A$26),"")</f>
        <v/>
      </c>
      <c r="AM22" s="252"/>
      <c r="AN22" s="1"/>
      <c r="AO22" s="267" t="s">
        <v>100</v>
      </c>
      <c r="AP22" s="259"/>
      <c r="AQ22" s="259"/>
      <c r="AR22" s="259"/>
      <c r="AS22" s="259"/>
      <c r="AT22" s="260"/>
    </row>
    <row r="23" spans="2:46" ht="15.75" customHeight="1" x14ac:dyDescent="0.25">
      <c r="B23" s="278"/>
      <c r="C23" s="201"/>
      <c r="D23" s="202"/>
      <c r="E23" s="213"/>
      <c r="F23" s="201"/>
      <c r="G23" s="201"/>
      <c r="H23" s="201"/>
      <c r="I23" s="202"/>
      <c r="J23" s="239"/>
      <c r="K23" s="240"/>
      <c r="L23" s="235"/>
      <c r="M23" s="240"/>
      <c r="N23" s="235"/>
      <c r="O23" s="236"/>
      <c r="P23" s="239"/>
      <c r="Q23" s="240"/>
      <c r="R23" s="235"/>
      <c r="S23" s="240"/>
      <c r="T23" s="235"/>
      <c r="U23" s="236"/>
      <c r="V23" s="239"/>
      <c r="W23" s="240"/>
      <c r="X23" s="235"/>
      <c r="Y23" s="240"/>
      <c r="Z23" s="235"/>
      <c r="AA23" s="236"/>
      <c r="AB23" s="239"/>
      <c r="AC23" s="240"/>
      <c r="AD23" s="235"/>
      <c r="AE23" s="240"/>
      <c r="AF23" s="235"/>
      <c r="AG23" s="236"/>
      <c r="AH23" s="239"/>
      <c r="AI23" s="240"/>
      <c r="AJ23" s="235"/>
      <c r="AK23" s="240"/>
      <c r="AL23" s="235"/>
      <c r="AM23" s="236"/>
      <c r="AN23" s="1"/>
      <c r="AO23" s="261"/>
      <c r="AP23" s="201"/>
      <c r="AQ23" s="201"/>
      <c r="AR23" s="201"/>
      <c r="AS23" s="201"/>
      <c r="AT23" s="262"/>
    </row>
    <row r="24" spans="2:46" ht="15.75" customHeight="1" x14ac:dyDescent="0.25">
      <c r="B24" s="278"/>
      <c r="C24" s="201"/>
      <c r="D24" s="202"/>
      <c r="E24" s="213"/>
      <c r="F24" s="201"/>
      <c r="G24" s="201"/>
      <c r="H24" s="201"/>
      <c r="I24" s="202"/>
      <c r="J24" s="257" t="str">
        <f>IF(AND('Mapa final'!$H$31="Media",'Mapa final'!$L$31="Leve"),CONCATENATE("R",'Mapa final'!$A$31),"")</f>
        <v/>
      </c>
      <c r="K24" s="238"/>
      <c r="L24" s="256" t="str">
        <f>IF(AND('Mapa final'!$H$36="Media",'Mapa final'!$L$36="Leve"),CONCATENATE("R",'Mapa final'!$A$36),"")</f>
        <v/>
      </c>
      <c r="M24" s="238"/>
      <c r="N24" s="256" t="str">
        <f>IF(AND('Mapa final'!$H$41="Media",'Mapa final'!$L$41="Leve"),CONCATENATE("R",'Mapa final'!$A$41),"")</f>
        <v/>
      </c>
      <c r="O24" s="234"/>
      <c r="P24" s="257" t="str">
        <f>IF(AND('Mapa final'!$H$31="Media",'Mapa final'!$L$31="Menor"),CONCATENATE("R",'Mapa final'!$A$31),"")</f>
        <v/>
      </c>
      <c r="Q24" s="238"/>
      <c r="R24" s="256" t="str">
        <f>IF(AND('Mapa final'!$H$36="Media",'Mapa final'!$L$36="Menor"),CONCATENATE("R",'Mapa final'!$A$36),"")</f>
        <v/>
      </c>
      <c r="S24" s="238"/>
      <c r="T24" s="256" t="str">
        <f>IF(AND('Mapa final'!$H$41="Media",'Mapa final'!$L$41="Menor"),CONCATENATE("R",'Mapa final'!$A$41),"")</f>
        <v/>
      </c>
      <c r="U24" s="234"/>
      <c r="V24" s="257" t="str">
        <f>IF(AND('Mapa final'!$H$31="Media",'Mapa final'!$L$31="Moderado"),CONCATENATE("R",'Mapa final'!$A$31),"")</f>
        <v/>
      </c>
      <c r="W24" s="238"/>
      <c r="X24" s="256" t="str">
        <f>IF(AND('Mapa final'!$H$36="Media",'Mapa final'!$L$36="Moderado"),CONCATENATE("R",'Mapa final'!$A$36),"")</f>
        <v>R4</v>
      </c>
      <c r="Y24" s="238"/>
      <c r="Z24" s="256" t="str">
        <f>IF(AND('Mapa final'!$H$41="Media",'Mapa final'!$L$41="Moderado"),CONCATENATE("R",'Mapa final'!$A$41),"")</f>
        <v/>
      </c>
      <c r="AA24" s="234"/>
      <c r="AB24" s="245" t="str">
        <f>IF(AND('Mapa final'!$H$31="Media",'Mapa final'!$L$31="Mayor"),CONCATENATE("R",'Mapa final'!$A$31),"")</f>
        <v/>
      </c>
      <c r="AC24" s="238"/>
      <c r="AD24" s="233" t="str">
        <f>IF(AND('Mapa final'!$H$36="Media",'Mapa final'!$L$36="Mayor"),CONCATENATE("R",'Mapa final'!$A$36),"")</f>
        <v/>
      </c>
      <c r="AE24" s="238"/>
      <c r="AF24" s="233" t="str">
        <f>IF(AND('Mapa final'!$H$41="Media",'Mapa final'!$L$41="Mayor"),CONCATENATE("R",'Mapa final'!$A$41),"")</f>
        <v/>
      </c>
      <c r="AG24" s="234"/>
      <c r="AH24" s="237" t="str">
        <f>IF(AND('Mapa final'!$H$31="Media",'Mapa final'!$L$31="Catastrófico"),CONCATENATE("R",'Mapa final'!$A$31),"")</f>
        <v>R3</v>
      </c>
      <c r="AI24" s="238"/>
      <c r="AJ24" s="241" t="str">
        <f>IF(AND('Mapa final'!$H$36="Media",'Mapa final'!$L$36="Catastrófico"),CONCATENATE("R",'Mapa final'!$A$36),"")</f>
        <v/>
      </c>
      <c r="AK24" s="238"/>
      <c r="AL24" s="241" t="str">
        <f>IF(AND('Mapa final'!$H$41="Media",'Mapa final'!$L$41="Catastrófico"),CONCATENATE("R",'Mapa final'!$A$41),"")</f>
        <v/>
      </c>
      <c r="AM24" s="234"/>
      <c r="AN24" s="1"/>
      <c r="AO24" s="261"/>
      <c r="AP24" s="201"/>
      <c r="AQ24" s="201"/>
      <c r="AR24" s="201"/>
      <c r="AS24" s="201"/>
      <c r="AT24" s="262"/>
    </row>
    <row r="25" spans="2:46" ht="15.75" customHeight="1" x14ac:dyDescent="0.25">
      <c r="B25" s="278"/>
      <c r="C25" s="201"/>
      <c r="D25" s="202"/>
      <c r="E25" s="213"/>
      <c r="F25" s="201"/>
      <c r="G25" s="201"/>
      <c r="H25" s="201"/>
      <c r="I25" s="202"/>
      <c r="J25" s="239"/>
      <c r="K25" s="240"/>
      <c r="L25" s="235"/>
      <c r="M25" s="240"/>
      <c r="N25" s="235"/>
      <c r="O25" s="236"/>
      <c r="P25" s="239"/>
      <c r="Q25" s="240"/>
      <c r="R25" s="235"/>
      <c r="S25" s="240"/>
      <c r="T25" s="235"/>
      <c r="U25" s="236"/>
      <c r="V25" s="239"/>
      <c r="W25" s="240"/>
      <c r="X25" s="235"/>
      <c r="Y25" s="240"/>
      <c r="Z25" s="235"/>
      <c r="AA25" s="236"/>
      <c r="AB25" s="239"/>
      <c r="AC25" s="240"/>
      <c r="AD25" s="235"/>
      <c r="AE25" s="240"/>
      <c r="AF25" s="235"/>
      <c r="AG25" s="236"/>
      <c r="AH25" s="239"/>
      <c r="AI25" s="240"/>
      <c r="AJ25" s="235"/>
      <c r="AK25" s="240"/>
      <c r="AL25" s="235"/>
      <c r="AM25" s="236"/>
      <c r="AN25" s="1"/>
      <c r="AO25" s="261"/>
      <c r="AP25" s="201"/>
      <c r="AQ25" s="201"/>
      <c r="AR25" s="201"/>
      <c r="AS25" s="201"/>
      <c r="AT25" s="262"/>
    </row>
    <row r="26" spans="2:46" ht="15.75" customHeight="1" x14ac:dyDescent="0.25">
      <c r="B26" s="278"/>
      <c r="C26" s="201"/>
      <c r="D26" s="202"/>
      <c r="E26" s="213"/>
      <c r="F26" s="201"/>
      <c r="G26" s="201"/>
      <c r="H26" s="201"/>
      <c r="I26" s="202"/>
      <c r="J26" s="257" t="e">
        <f>IF(AND('Mapa final'!#REF!="Media",'Mapa final'!#REF!="Leve"),CONCATENATE("R",'Mapa final'!#REF!),"")</f>
        <v>#REF!</v>
      </c>
      <c r="K26" s="238"/>
      <c r="L26" s="256" t="e">
        <f>IF(AND('Mapa final'!#REF!="Media",'Mapa final'!#REF!="Leve"),CONCATENATE("R",'Mapa final'!#REF!),"")</f>
        <v>#REF!</v>
      </c>
      <c r="M26" s="238"/>
      <c r="N26" s="256" t="e">
        <f>IF(AND('Mapa final'!#REF!="Media",'Mapa final'!#REF!="Leve"),CONCATENATE("R",'Mapa final'!#REF!),"")</f>
        <v>#REF!</v>
      </c>
      <c r="O26" s="234"/>
      <c r="P26" s="257" t="e">
        <f>IF(AND('Mapa final'!#REF!="Media",'Mapa final'!#REF!="Menor"),CONCATENATE("R",'Mapa final'!#REF!),"")</f>
        <v>#REF!</v>
      </c>
      <c r="Q26" s="238"/>
      <c r="R26" s="256" t="e">
        <f>IF(AND('Mapa final'!#REF!="Media",'Mapa final'!#REF!="Menor"),CONCATENATE("R",'Mapa final'!#REF!),"")</f>
        <v>#REF!</v>
      </c>
      <c r="S26" s="238"/>
      <c r="T26" s="256" t="e">
        <f>IF(AND('Mapa final'!#REF!="Media",'Mapa final'!#REF!="Menor"),CONCATENATE("R",'Mapa final'!#REF!),"")</f>
        <v>#REF!</v>
      </c>
      <c r="U26" s="234"/>
      <c r="V26" s="257" t="e">
        <f>IF(AND('Mapa final'!#REF!="Media",'Mapa final'!#REF!="Moderado"),CONCATENATE("R",'Mapa final'!#REF!),"")</f>
        <v>#REF!</v>
      </c>
      <c r="W26" s="238"/>
      <c r="X26" s="256" t="e">
        <f>IF(AND('Mapa final'!#REF!="Media",'Mapa final'!#REF!="Moderado"),CONCATENATE("R",'Mapa final'!#REF!),"")</f>
        <v>#REF!</v>
      </c>
      <c r="Y26" s="238"/>
      <c r="Z26" s="256" t="e">
        <f>IF(AND('Mapa final'!#REF!="Media",'Mapa final'!#REF!="Moderado"),CONCATENATE("R",'Mapa final'!#REF!),"")</f>
        <v>#REF!</v>
      </c>
      <c r="AA26" s="234"/>
      <c r="AB26" s="245" t="e">
        <f>IF(AND('Mapa final'!#REF!="Media",'Mapa final'!#REF!="Mayor"),CONCATENATE("R",'Mapa final'!#REF!),"")</f>
        <v>#REF!</v>
      </c>
      <c r="AC26" s="238"/>
      <c r="AD26" s="233" t="e">
        <f>IF(AND('Mapa final'!#REF!="Media",'Mapa final'!#REF!="Mayor"),CONCATENATE("R",'Mapa final'!#REF!),"")</f>
        <v>#REF!</v>
      </c>
      <c r="AE26" s="238"/>
      <c r="AF26" s="233" t="e">
        <f>IF(AND('Mapa final'!#REF!="Media",'Mapa final'!#REF!="Mayor"),CONCATENATE("R",'Mapa final'!#REF!),"")</f>
        <v>#REF!</v>
      </c>
      <c r="AG26" s="234"/>
      <c r="AH26" s="237" t="e">
        <f>IF(AND('Mapa final'!#REF!="Media",'Mapa final'!#REF!="Catastrófico"),CONCATENATE("R",'Mapa final'!#REF!),"")</f>
        <v>#REF!</v>
      </c>
      <c r="AI26" s="238"/>
      <c r="AJ26" s="241" t="e">
        <f>IF(AND('Mapa final'!#REF!="Media",'Mapa final'!#REF!="Catastrófico"),CONCATENATE("R",'Mapa final'!#REF!),"")</f>
        <v>#REF!</v>
      </c>
      <c r="AK26" s="238"/>
      <c r="AL26" s="241" t="e">
        <f>IF(AND('Mapa final'!#REF!="Media",'Mapa final'!#REF!="Catastrófico"),CONCATENATE("R",'Mapa final'!#REF!),"")</f>
        <v>#REF!</v>
      </c>
      <c r="AM26" s="234"/>
      <c r="AN26" s="1"/>
      <c r="AO26" s="261"/>
      <c r="AP26" s="201"/>
      <c r="AQ26" s="201"/>
      <c r="AR26" s="201"/>
      <c r="AS26" s="201"/>
      <c r="AT26" s="262"/>
    </row>
    <row r="27" spans="2:46" ht="15.75" customHeight="1" x14ac:dyDescent="0.25">
      <c r="B27" s="278"/>
      <c r="C27" s="201"/>
      <c r="D27" s="202"/>
      <c r="E27" s="213"/>
      <c r="F27" s="201"/>
      <c r="G27" s="201"/>
      <c r="H27" s="201"/>
      <c r="I27" s="202"/>
      <c r="J27" s="239"/>
      <c r="K27" s="240"/>
      <c r="L27" s="235"/>
      <c r="M27" s="240"/>
      <c r="N27" s="235"/>
      <c r="O27" s="236"/>
      <c r="P27" s="239"/>
      <c r="Q27" s="240"/>
      <c r="R27" s="235"/>
      <c r="S27" s="240"/>
      <c r="T27" s="235"/>
      <c r="U27" s="236"/>
      <c r="V27" s="239"/>
      <c r="W27" s="240"/>
      <c r="X27" s="235"/>
      <c r="Y27" s="240"/>
      <c r="Z27" s="235"/>
      <c r="AA27" s="236"/>
      <c r="AB27" s="239"/>
      <c r="AC27" s="240"/>
      <c r="AD27" s="235"/>
      <c r="AE27" s="240"/>
      <c r="AF27" s="235"/>
      <c r="AG27" s="236"/>
      <c r="AH27" s="239"/>
      <c r="AI27" s="240"/>
      <c r="AJ27" s="235"/>
      <c r="AK27" s="240"/>
      <c r="AL27" s="235"/>
      <c r="AM27" s="236"/>
      <c r="AN27" s="1"/>
      <c r="AO27" s="261"/>
      <c r="AP27" s="201"/>
      <c r="AQ27" s="201"/>
      <c r="AR27" s="201"/>
      <c r="AS27" s="201"/>
      <c r="AT27" s="262"/>
    </row>
    <row r="28" spans="2:46" ht="15.75" customHeight="1" x14ac:dyDescent="0.25">
      <c r="B28" s="278"/>
      <c r="C28" s="201"/>
      <c r="D28" s="202"/>
      <c r="E28" s="213"/>
      <c r="F28" s="201"/>
      <c r="G28" s="201"/>
      <c r="H28" s="201"/>
      <c r="I28" s="202"/>
      <c r="J28" s="257" t="e">
        <f>IF(AND('Mapa final'!#REF!="Media",'Mapa final'!#REF!="Leve"),CONCATENATE("R",'Mapa final'!#REF!),"")</f>
        <v>#REF!</v>
      </c>
      <c r="K28" s="238"/>
      <c r="L28" s="256" t="str">
        <f>IF(AND('Mapa final'!$H$46="Media",'Mapa final'!$L$46="Leve"),CONCATENATE("R",'Mapa final'!$A$46),"")</f>
        <v/>
      </c>
      <c r="M28" s="238"/>
      <c r="N28" s="256" t="str">
        <f>IF(AND('Mapa final'!$H$52="Media",'Mapa final'!$L$52="Leve"),CONCATENATE("R",'Mapa final'!$A$52),"")</f>
        <v/>
      </c>
      <c r="O28" s="234"/>
      <c r="P28" s="257" t="e">
        <f>IF(AND('Mapa final'!#REF!="Media",'Mapa final'!#REF!="Menor"),CONCATENATE("R",'Mapa final'!#REF!),"")</f>
        <v>#REF!</v>
      </c>
      <c r="Q28" s="238"/>
      <c r="R28" s="256" t="str">
        <f>IF(AND('Mapa final'!$H$46="Media",'Mapa final'!$L$46="Menor"),CONCATENATE("R",'Mapa final'!$A$46),"")</f>
        <v/>
      </c>
      <c r="S28" s="238"/>
      <c r="T28" s="256" t="str">
        <f>IF(AND('Mapa final'!$H$52="Media",'Mapa final'!$L$52="Menor"),CONCATENATE("R",'Mapa final'!$A$52),"")</f>
        <v/>
      </c>
      <c r="U28" s="234"/>
      <c r="V28" s="257" t="e">
        <f>IF(AND('Mapa final'!#REF!="Media",'Mapa final'!#REF!="Moderado"),CONCATENATE("R",'Mapa final'!#REF!),"")</f>
        <v>#REF!</v>
      </c>
      <c r="W28" s="238"/>
      <c r="X28" s="256" t="str">
        <f>IF(AND('Mapa final'!$H$46="Media",'Mapa final'!$L$46="Moderado"),CONCATENATE("R",'Mapa final'!$A$46),"")</f>
        <v/>
      </c>
      <c r="Y28" s="238"/>
      <c r="Z28" s="256" t="str">
        <f>IF(AND('Mapa final'!$H$52="Media",'Mapa final'!$L$52="Moderado"),CONCATENATE("R",'Mapa final'!$A$52),"")</f>
        <v/>
      </c>
      <c r="AA28" s="234"/>
      <c r="AB28" s="245" t="e">
        <f>IF(AND('Mapa final'!#REF!="Media",'Mapa final'!#REF!="Mayor"),CONCATENATE("R",'Mapa final'!#REF!),"")</f>
        <v>#REF!</v>
      </c>
      <c r="AC28" s="238"/>
      <c r="AD28" s="233" t="str">
        <f>IF(AND('Mapa final'!$H$46="Media",'Mapa final'!$L$46="Mayor"),CONCATENATE("R",'Mapa final'!$A$46),"")</f>
        <v/>
      </c>
      <c r="AE28" s="238"/>
      <c r="AF28" s="233" t="str">
        <f>IF(AND('Mapa final'!$H$52="Media",'Mapa final'!$L$52="Mayor"),CONCATENATE("R",'Mapa final'!$A$52),"")</f>
        <v/>
      </c>
      <c r="AG28" s="234"/>
      <c r="AH28" s="237" t="e">
        <f>IF(AND('Mapa final'!#REF!="Media",'Mapa final'!#REF!="Catastrófico"),CONCATENATE("R",'Mapa final'!#REF!),"")</f>
        <v>#REF!</v>
      </c>
      <c r="AI28" s="238"/>
      <c r="AJ28" s="241" t="str">
        <f>IF(AND('Mapa final'!$H$46="Media",'Mapa final'!$L$46="Catastrófico"),CONCATENATE("R",'Mapa final'!$A$46),"")</f>
        <v/>
      </c>
      <c r="AK28" s="238"/>
      <c r="AL28" s="241" t="str">
        <f>IF(AND('Mapa final'!$H$52="Media",'Mapa final'!$L$52="Catastrófico"),CONCATENATE("R",'Mapa final'!$A$52),"")</f>
        <v/>
      </c>
      <c r="AM28" s="234"/>
      <c r="AN28" s="1"/>
      <c r="AO28" s="261"/>
      <c r="AP28" s="201"/>
      <c r="AQ28" s="201"/>
      <c r="AR28" s="201"/>
      <c r="AS28" s="201"/>
      <c r="AT28" s="262"/>
    </row>
    <row r="29" spans="2:46" ht="15.75" customHeight="1" x14ac:dyDescent="0.25">
      <c r="B29" s="278"/>
      <c r="C29" s="201"/>
      <c r="D29" s="202"/>
      <c r="E29" s="247"/>
      <c r="F29" s="271"/>
      <c r="G29" s="271"/>
      <c r="H29" s="271"/>
      <c r="I29" s="250"/>
      <c r="J29" s="239"/>
      <c r="K29" s="240"/>
      <c r="L29" s="235"/>
      <c r="M29" s="240"/>
      <c r="N29" s="235"/>
      <c r="O29" s="236"/>
      <c r="P29" s="247"/>
      <c r="Q29" s="248"/>
      <c r="R29" s="249"/>
      <c r="S29" s="248"/>
      <c r="T29" s="249"/>
      <c r="U29" s="250"/>
      <c r="V29" s="247"/>
      <c r="W29" s="248"/>
      <c r="X29" s="249"/>
      <c r="Y29" s="248"/>
      <c r="Z29" s="249"/>
      <c r="AA29" s="250"/>
      <c r="AB29" s="247"/>
      <c r="AC29" s="248"/>
      <c r="AD29" s="249"/>
      <c r="AE29" s="248"/>
      <c r="AF29" s="249"/>
      <c r="AG29" s="250"/>
      <c r="AH29" s="247"/>
      <c r="AI29" s="248"/>
      <c r="AJ29" s="249"/>
      <c r="AK29" s="248"/>
      <c r="AL29" s="249"/>
      <c r="AM29" s="250"/>
      <c r="AN29" s="1"/>
      <c r="AO29" s="263"/>
      <c r="AP29" s="264"/>
      <c r="AQ29" s="264"/>
      <c r="AR29" s="264"/>
      <c r="AS29" s="264"/>
      <c r="AT29" s="265"/>
    </row>
    <row r="30" spans="2:46" ht="15.75" customHeight="1" x14ac:dyDescent="0.25">
      <c r="B30" s="278"/>
      <c r="C30" s="201"/>
      <c r="D30" s="202"/>
      <c r="E30" s="269" t="s">
        <v>101</v>
      </c>
      <c r="F30" s="270"/>
      <c r="G30" s="270"/>
      <c r="H30" s="270"/>
      <c r="I30" s="270"/>
      <c r="J30" s="272" t="str">
        <f>IF(AND('Mapa final'!$H$16="Baja",'Mapa final'!$L$16="Leve"),CONCATENATE("R",'Mapa final'!$A$16),"")</f>
        <v/>
      </c>
      <c r="K30" s="243"/>
      <c r="L30" s="274" t="str">
        <f>IF(AND('Mapa final'!$H$21="Baja",'Mapa final'!$L$21="Leve"),CONCATENATE("R",'Mapa final'!$A$21),"")</f>
        <v/>
      </c>
      <c r="M30" s="243"/>
      <c r="N30" s="274" t="str">
        <f>IF(AND('Mapa final'!$H$26="Baja",'Mapa final'!$L$26="Leve"),CONCATENATE("R",'Mapa final'!$A$26),"")</f>
        <v/>
      </c>
      <c r="O30" s="252"/>
      <c r="P30" s="251" t="str">
        <f>IF(AND('Mapa final'!$H$16="Baja",'Mapa final'!$L$16="Menor"),CONCATENATE("R",'Mapa final'!$A$16),"")</f>
        <v/>
      </c>
      <c r="Q30" s="243"/>
      <c r="R30" s="251" t="str">
        <f>IF(AND('Mapa final'!$H$21="Baja",'Mapa final'!$L$21="Menor"),CONCATENATE("R",'Mapa final'!$A$21),"")</f>
        <v/>
      </c>
      <c r="S30" s="243"/>
      <c r="T30" s="251" t="str">
        <f>IF(AND('Mapa final'!$H$26="Baja",'Mapa final'!$L$26="Menor"),CONCATENATE("R",'Mapa final'!$A$26),"")</f>
        <v/>
      </c>
      <c r="U30" s="252"/>
      <c r="V30" s="253" t="str">
        <f>IF(AND('Mapa final'!$H$16="Baja",'Mapa final'!$L$16="Moderado"),CONCATENATE("R",'Mapa final'!$A$16),"")</f>
        <v/>
      </c>
      <c r="W30" s="243"/>
      <c r="X30" s="251" t="str">
        <f>IF(AND('Mapa final'!$H$21="Baja",'Mapa final'!$L$21="Moderado"),CONCATENATE("R",'Mapa final'!$A$21),"")</f>
        <v/>
      </c>
      <c r="Y30" s="243"/>
      <c r="Z30" s="251" t="str">
        <f>IF(AND('Mapa final'!$H$26="Baja",'Mapa final'!$L$26="Moderado"),CONCATENATE("R",'Mapa final'!$A$26),"")</f>
        <v/>
      </c>
      <c r="AA30" s="252"/>
      <c r="AB30" s="242" t="str">
        <f>IF(AND('Mapa final'!$H$16="Baja",'Mapa final'!$L$16="Mayor"),CONCATENATE("R",'Mapa final'!$A$16),"")</f>
        <v/>
      </c>
      <c r="AC30" s="243"/>
      <c r="AD30" s="244" t="str">
        <f>IF(AND('Mapa final'!$H$21="Baja",'Mapa final'!$L$21="Mayor"),CONCATENATE("R",'Mapa final'!$A$21),"")</f>
        <v/>
      </c>
      <c r="AE30" s="243"/>
      <c r="AF30" s="244" t="str">
        <f>IF(AND('Mapa final'!$H$26="Baja",'Mapa final'!$L$26="Mayor"),CONCATENATE("R",'Mapa final'!$A$26),"")</f>
        <v/>
      </c>
      <c r="AG30" s="252"/>
      <c r="AH30" s="254" t="str">
        <f>IF(AND('Mapa final'!$H$16="Baja",'Mapa final'!$L$16="Catastrófico"),CONCATENATE("R",'Mapa final'!$A$16),"")</f>
        <v/>
      </c>
      <c r="AI30" s="243"/>
      <c r="AJ30" s="246" t="str">
        <f>IF(AND('Mapa final'!$H$21="Baja",'Mapa final'!$L$21="Catastrófico"),CONCATENATE("R",'Mapa final'!$A$21),"")</f>
        <v/>
      </c>
      <c r="AK30" s="243"/>
      <c r="AL30" s="246" t="str">
        <f>IF(AND('Mapa final'!$H$26="Baja",'Mapa final'!$L$26="Catastrófico"),CONCATENATE("R",'Mapa final'!$A$26),"")</f>
        <v/>
      </c>
      <c r="AM30" s="252"/>
      <c r="AN30" s="1"/>
      <c r="AO30" s="258" t="s">
        <v>102</v>
      </c>
      <c r="AP30" s="259"/>
      <c r="AQ30" s="259"/>
      <c r="AR30" s="259"/>
      <c r="AS30" s="259"/>
      <c r="AT30" s="260"/>
    </row>
    <row r="31" spans="2:46" ht="15.75" customHeight="1" x14ac:dyDescent="0.25">
      <c r="B31" s="278"/>
      <c r="C31" s="201"/>
      <c r="D31" s="202"/>
      <c r="E31" s="213"/>
      <c r="F31" s="201"/>
      <c r="G31" s="201"/>
      <c r="H31" s="201"/>
      <c r="I31" s="201"/>
      <c r="J31" s="239"/>
      <c r="K31" s="240"/>
      <c r="L31" s="235"/>
      <c r="M31" s="240"/>
      <c r="N31" s="235"/>
      <c r="O31" s="236"/>
      <c r="P31" s="235"/>
      <c r="Q31" s="240"/>
      <c r="R31" s="235"/>
      <c r="S31" s="240"/>
      <c r="T31" s="235"/>
      <c r="U31" s="236"/>
      <c r="V31" s="239"/>
      <c r="W31" s="240"/>
      <c r="X31" s="235"/>
      <c r="Y31" s="240"/>
      <c r="Z31" s="235"/>
      <c r="AA31" s="236"/>
      <c r="AB31" s="239"/>
      <c r="AC31" s="240"/>
      <c r="AD31" s="235"/>
      <c r="AE31" s="240"/>
      <c r="AF31" s="235"/>
      <c r="AG31" s="236"/>
      <c r="AH31" s="239"/>
      <c r="AI31" s="240"/>
      <c r="AJ31" s="235"/>
      <c r="AK31" s="240"/>
      <c r="AL31" s="235"/>
      <c r="AM31" s="236"/>
      <c r="AN31" s="1"/>
      <c r="AO31" s="261"/>
      <c r="AP31" s="201"/>
      <c r="AQ31" s="201"/>
      <c r="AR31" s="201"/>
      <c r="AS31" s="201"/>
      <c r="AT31" s="262"/>
    </row>
    <row r="32" spans="2:46" ht="15.75" customHeight="1" x14ac:dyDescent="0.25">
      <c r="B32" s="278"/>
      <c r="C32" s="201"/>
      <c r="D32" s="202"/>
      <c r="E32" s="213"/>
      <c r="F32" s="201"/>
      <c r="G32" s="201"/>
      <c r="H32" s="201"/>
      <c r="I32" s="201"/>
      <c r="J32" s="273" t="str">
        <f>IF(AND('Mapa final'!$H$31="Baja",'Mapa final'!$L$31="Leve"),CONCATENATE("R",'Mapa final'!$A$31),"")</f>
        <v/>
      </c>
      <c r="K32" s="238"/>
      <c r="L32" s="255" t="str">
        <f>IF(AND('Mapa final'!$H$36="Baja",'Mapa final'!$L$36="Leve"),CONCATENATE("R",'Mapa final'!$A$36),"")</f>
        <v/>
      </c>
      <c r="M32" s="238"/>
      <c r="N32" s="255" t="str">
        <f>IF(AND('Mapa final'!$H$41="Baja",'Mapa final'!$L$41="Leve"),CONCATENATE("R",'Mapa final'!$A$41),"")</f>
        <v/>
      </c>
      <c r="O32" s="234"/>
      <c r="P32" s="256" t="str">
        <f>IF(AND('Mapa final'!$H$31="Baja",'Mapa final'!$L$31="Menor"),CONCATENATE("R",'Mapa final'!$A$31),"")</f>
        <v/>
      </c>
      <c r="Q32" s="238"/>
      <c r="R32" s="256" t="str">
        <f>IF(AND('Mapa final'!$H$36="Baja",'Mapa final'!$L$36="Menor"),CONCATENATE("R",'Mapa final'!$A$36),"")</f>
        <v/>
      </c>
      <c r="S32" s="238"/>
      <c r="T32" s="256" t="str">
        <f>IF(AND('Mapa final'!$H$41="Baja",'Mapa final'!$L$41="Menor"),CONCATENATE("R",'Mapa final'!$A$41),"")</f>
        <v/>
      </c>
      <c r="U32" s="234"/>
      <c r="V32" s="257" t="str">
        <f>IF(AND('Mapa final'!$H$31="Baja",'Mapa final'!$L$31="Moderado"),CONCATENATE("R",'Mapa final'!$A$31),"")</f>
        <v/>
      </c>
      <c r="W32" s="238"/>
      <c r="X32" s="256" t="str">
        <f>IF(AND('Mapa final'!$H$36="Baja",'Mapa final'!$L$36="Moderado"),CONCATENATE("R",'Mapa final'!$A$36),"")</f>
        <v/>
      </c>
      <c r="Y32" s="238"/>
      <c r="Z32" s="256" t="str">
        <f>IF(AND('Mapa final'!$H$41="Baja",'Mapa final'!$L$41="Moderado"),CONCATENATE("R",'Mapa final'!$A$41),"")</f>
        <v/>
      </c>
      <c r="AA32" s="234"/>
      <c r="AB32" s="245" t="str">
        <f>IF(AND('Mapa final'!$H$31="Baja",'Mapa final'!$L$31="Mayor"),CONCATENATE("R",'Mapa final'!$A$31),"")</f>
        <v/>
      </c>
      <c r="AC32" s="238"/>
      <c r="AD32" s="233" t="str">
        <f>IF(AND('Mapa final'!$H$36="Baja",'Mapa final'!$L$36="Mayor"),CONCATENATE("R",'Mapa final'!$A$36),"")</f>
        <v/>
      </c>
      <c r="AE32" s="238"/>
      <c r="AF32" s="233" t="str">
        <f>IF(AND('Mapa final'!$H$41="Baja",'Mapa final'!$L$41="Mayor"),CONCATENATE("R",'Mapa final'!$A$41),"")</f>
        <v/>
      </c>
      <c r="AG32" s="234"/>
      <c r="AH32" s="237" t="str">
        <f>IF(AND('Mapa final'!$H$31="Baja",'Mapa final'!$L$31="Catastrófico"),CONCATENATE("R",'Mapa final'!$A$31),"")</f>
        <v/>
      </c>
      <c r="AI32" s="238"/>
      <c r="AJ32" s="241" t="str">
        <f>IF(AND('Mapa final'!$H$36="Baja",'Mapa final'!$L$36="Catastrófico"),CONCATENATE("R",'Mapa final'!$A$36),"")</f>
        <v/>
      </c>
      <c r="AK32" s="238"/>
      <c r="AL32" s="241" t="str">
        <f>IF(AND('Mapa final'!$H$41="Baja",'Mapa final'!$L$41="Catastrófico"),CONCATENATE("R",'Mapa final'!$A$41),"")</f>
        <v/>
      </c>
      <c r="AM32" s="234"/>
      <c r="AN32" s="1"/>
      <c r="AO32" s="261"/>
      <c r="AP32" s="201"/>
      <c r="AQ32" s="201"/>
      <c r="AR32" s="201"/>
      <c r="AS32" s="201"/>
      <c r="AT32" s="262"/>
    </row>
    <row r="33" spans="2:46" ht="15.75" customHeight="1" x14ac:dyDescent="0.25">
      <c r="B33" s="278"/>
      <c r="C33" s="201"/>
      <c r="D33" s="202"/>
      <c r="E33" s="213"/>
      <c r="F33" s="201"/>
      <c r="G33" s="201"/>
      <c r="H33" s="201"/>
      <c r="I33" s="201"/>
      <c r="J33" s="239"/>
      <c r="K33" s="240"/>
      <c r="L33" s="235"/>
      <c r="M33" s="240"/>
      <c r="N33" s="235"/>
      <c r="O33" s="236"/>
      <c r="P33" s="235"/>
      <c r="Q33" s="240"/>
      <c r="R33" s="235"/>
      <c r="S33" s="240"/>
      <c r="T33" s="235"/>
      <c r="U33" s="236"/>
      <c r="V33" s="239"/>
      <c r="W33" s="240"/>
      <c r="X33" s="235"/>
      <c r="Y33" s="240"/>
      <c r="Z33" s="235"/>
      <c r="AA33" s="236"/>
      <c r="AB33" s="239"/>
      <c r="AC33" s="240"/>
      <c r="AD33" s="235"/>
      <c r="AE33" s="240"/>
      <c r="AF33" s="235"/>
      <c r="AG33" s="236"/>
      <c r="AH33" s="239"/>
      <c r="AI33" s="240"/>
      <c r="AJ33" s="235"/>
      <c r="AK33" s="240"/>
      <c r="AL33" s="235"/>
      <c r="AM33" s="236"/>
      <c r="AN33" s="1"/>
      <c r="AO33" s="261"/>
      <c r="AP33" s="201"/>
      <c r="AQ33" s="201"/>
      <c r="AR33" s="201"/>
      <c r="AS33" s="201"/>
      <c r="AT33" s="262"/>
    </row>
    <row r="34" spans="2:46" ht="15.75" customHeight="1" x14ac:dyDescent="0.25">
      <c r="B34" s="278"/>
      <c r="C34" s="201"/>
      <c r="D34" s="202"/>
      <c r="E34" s="213"/>
      <c r="F34" s="201"/>
      <c r="G34" s="201"/>
      <c r="H34" s="201"/>
      <c r="I34" s="201"/>
      <c r="J34" s="273" t="e">
        <f>IF(AND('Mapa final'!#REF!="Baja",'Mapa final'!#REF!="Leve"),CONCATENATE("R",'Mapa final'!#REF!),"")</f>
        <v>#REF!</v>
      </c>
      <c r="K34" s="238"/>
      <c r="L34" s="255" t="e">
        <f>IF(AND('Mapa final'!#REF!="Baja",'Mapa final'!#REF!="Leve"),CONCATENATE("R",'Mapa final'!#REF!),"")</f>
        <v>#REF!</v>
      </c>
      <c r="M34" s="238"/>
      <c r="N34" s="255" t="e">
        <f>IF(AND('Mapa final'!#REF!="Baja",'Mapa final'!#REF!="Leve"),CONCATENATE("R",'Mapa final'!#REF!),"")</f>
        <v>#REF!</v>
      </c>
      <c r="O34" s="234"/>
      <c r="P34" s="256" t="e">
        <f>IF(AND('Mapa final'!#REF!="Baja",'Mapa final'!#REF!="Menor"),CONCATENATE("R",'Mapa final'!#REF!),"")</f>
        <v>#REF!</v>
      </c>
      <c r="Q34" s="238"/>
      <c r="R34" s="256" t="e">
        <f>IF(AND('Mapa final'!#REF!="Baja",'Mapa final'!#REF!="Menor"),CONCATENATE("R",'Mapa final'!#REF!),"")</f>
        <v>#REF!</v>
      </c>
      <c r="S34" s="238"/>
      <c r="T34" s="256" t="e">
        <f>IF(AND('Mapa final'!#REF!="Baja",'Mapa final'!#REF!="Menor"),CONCATENATE("R",'Mapa final'!#REF!),"")</f>
        <v>#REF!</v>
      </c>
      <c r="U34" s="234"/>
      <c r="V34" s="257" t="e">
        <f>IF(AND('Mapa final'!#REF!="Baja",'Mapa final'!#REF!="Moderado"),CONCATENATE("R",'Mapa final'!#REF!),"")</f>
        <v>#REF!</v>
      </c>
      <c r="W34" s="238"/>
      <c r="X34" s="256" t="e">
        <f>IF(AND('Mapa final'!#REF!="Baja",'Mapa final'!#REF!="Moderado"),CONCATENATE("R",'Mapa final'!#REF!),"")</f>
        <v>#REF!</v>
      </c>
      <c r="Y34" s="238"/>
      <c r="Z34" s="256" t="e">
        <f>IF(AND('Mapa final'!#REF!="Baja",'Mapa final'!#REF!="Moderado"),CONCATENATE("R",'Mapa final'!#REF!),"")</f>
        <v>#REF!</v>
      </c>
      <c r="AA34" s="234"/>
      <c r="AB34" s="245" t="e">
        <f>IF(AND('Mapa final'!#REF!="Baja",'Mapa final'!#REF!="Mayor"),CONCATENATE("R",'Mapa final'!#REF!),"")</f>
        <v>#REF!</v>
      </c>
      <c r="AC34" s="238"/>
      <c r="AD34" s="233" t="e">
        <f>IF(AND('Mapa final'!#REF!="Baja",'Mapa final'!#REF!="Mayor"),CONCATENATE("R",'Mapa final'!#REF!),"")</f>
        <v>#REF!</v>
      </c>
      <c r="AE34" s="238"/>
      <c r="AF34" s="233" t="e">
        <f>IF(AND('Mapa final'!#REF!="Baja",'Mapa final'!#REF!="Mayor"),CONCATENATE("R",'Mapa final'!#REF!),"")</f>
        <v>#REF!</v>
      </c>
      <c r="AG34" s="234"/>
      <c r="AH34" s="237" t="e">
        <f>IF(AND('Mapa final'!#REF!="Baja",'Mapa final'!#REF!="Catastrófico"),CONCATENATE("R",'Mapa final'!#REF!),"")</f>
        <v>#REF!</v>
      </c>
      <c r="AI34" s="238"/>
      <c r="AJ34" s="241" t="e">
        <f>IF(AND('Mapa final'!#REF!="Baja",'Mapa final'!#REF!="Catastrófico"),CONCATENATE("R",'Mapa final'!#REF!),"")</f>
        <v>#REF!</v>
      </c>
      <c r="AK34" s="238"/>
      <c r="AL34" s="241" t="e">
        <f>IF(AND('Mapa final'!#REF!="Baja",'Mapa final'!#REF!="Catastrófico"),CONCATENATE("R",'Mapa final'!#REF!),"")</f>
        <v>#REF!</v>
      </c>
      <c r="AM34" s="234"/>
      <c r="AN34" s="1"/>
      <c r="AO34" s="261"/>
      <c r="AP34" s="201"/>
      <c r="AQ34" s="201"/>
      <c r="AR34" s="201"/>
      <c r="AS34" s="201"/>
      <c r="AT34" s="262"/>
    </row>
    <row r="35" spans="2:46" ht="15.75" customHeight="1" x14ac:dyDescent="0.25">
      <c r="B35" s="278"/>
      <c r="C35" s="201"/>
      <c r="D35" s="202"/>
      <c r="E35" s="213"/>
      <c r="F35" s="201"/>
      <c r="G35" s="201"/>
      <c r="H35" s="201"/>
      <c r="I35" s="201"/>
      <c r="J35" s="239"/>
      <c r="K35" s="240"/>
      <c r="L35" s="235"/>
      <c r="M35" s="240"/>
      <c r="N35" s="235"/>
      <c r="O35" s="236"/>
      <c r="P35" s="235"/>
      <c r="Q35" s="240"/>
      <c r="R35" s="235"/>
      <c r="S35" s="240"/>
      <c r="T35" s="235"/>
      <c r="U35" s="236"/>
      <c r="V35" s="239"/>
      <c r="W35" s="240"/>
      <c r="X35" s="235"/>
      <c r="Y35" s="240"/>
      <c r="Z35" s="235"/>
      <c r="AA35" s="236"/>
      <c r="AB35" s="239"/>
      <c r="AC35" s="240"/>
      <c r="AD35" s="235"/>
      <c r="AE35" s="240"/>
      <c r="AF35" s="235"/>
      <c r="AG35" s="236"/>
      <c r="AH35" s="239"/>
      <c r="AI35" s="240"/>
      <c r="AJ35" s="235"/>
      <c r="AK35" s="240"/>
      <c r="AL35" s="235"/>
      <c r="AM35" s="236"/>
      <c r="AN35" s="1"/>
      <c r="AO35" s="261"/>
      <c r="AP35" s="201"/>
      <c r="AQ35" s="201"/>
      <c r="AR35" s="201"/>
      <c r="AS35" s="201"/>
      <c r="AT35" s="262"/>
    </row>
    <row r="36" spans="2:46" ht="15.75" customHeight="1" x14ac:dyDescent="0.25">
      <c r="B36" s="278"/>
      <c r="C36" s="201"/>
      <c r="D36" s="202"/>
      <c r="E36" s="213"/>
      <c r="F36" s="201"/>
      <c r="G36" s="201"/>
      <c r="H36" s="201"/>
      <c r="I36" s="201"/>
      <c r="J36" s="273" t="e">
        <f>IF(AND('Mapa final'!#REF!="Baja",'Mapa final'!#REF!="Leve"),CONCATENATE("R",'Mapa final'!#REF!),"")</f>
        <v>#REF!</v>
      </c>
      <c r="K36" s="238"/>
      <c r="L36" s="255" t="str">
        <f>IF(AND('Mapa final'!$H$46="Baja",'Mapa final'!$L$46="Leve"),CONCATENATE("R",'Mapa final'!$A$46),"")</f>
        <v/>
      </c>
      <c r="M36" s="238"/>
      <c r="N36" s="255" t="str">
        <f>IF(AND('Mapa final'!$H$52="Baja",'Mapa final'!$L$52="Leve"),CONCATENATE("R",'Mapa final'!$A$52),"")</f>
        <v/>
      </c>
      <c r="O36" s="234"/>
      <c r="P36" s="256" t="e">
        <f>IF(AND('Mapa final'!#REF!="Baja",'Mapa final'!#REF!="Menor"),CONCATENATE("R",'Mapa final'!#REF!),"")</f>
        <v>#REF!</v>
      </c>
      <c r="Q36" s="238"/>
      <c r="R36" s="256" t="str">
        <f>IF(AND('Mapa final'!$H$46="Baja",'Mapa final'!$L$46="Menor"),CONCATENATE("R",'Mapa final'!$A$46),"")</f>
        <v/>
      </c>
      <c r="S36" s="238"/>
      <c r="T36" s="256" t="str">
        <f>IF(AND('Mapa final'!$H$52="Baja",'Mapa final'!$L$52="Menor"),CONCATENATE("R",'Mapa final'!$A$52),"")</f>
        <v/>
      </c>
      <c r="U36" s="234"/>
      <c r="V36" s="257" t="e">
        <f>IF(AND('Mapa final'!#REF!="Baja",'Mapa final'!#REF!="Moderado"),CONCATENATE("R",'Mapa final'!#REF!),"")</f>
        <v>#REF!</v>
      </c>
      <c r="W36" s="238"/>
      <c r="X36" s="256" t="str">
        <f>IF(AND('Mapa final'!$H$46="Baja",'Mapa final'!$L$46="Moderado"),CONCATENATE("R",'Mapa final'!$A$46),"")</f>
        <v/>
      </c>
      <c r="Y36" s="238"/>
      <c r="Z36" s="256" t="str">
        <f>IF(AND('Mapa final'!$H$52="Baja",'Mapa final'!$L$52="Moderado"),CONCATENATE("R",'Mapa final'!$A$52),"")</f>
        <v/>
      </c>
      <c r="AA36" s="234"/>
      <c r="AB36" s="245" t="e">
        <f>IF(AND('Mapa final'!#REF!="Baja",'Mapa final'!#REF!="Mayor"),CONCATENATE("R",'Mapa final'!#REF!),"")</f>
        <v>#REF!</v>
      </c>
      <c r="AC36" s="238"/>
      <c r="AD36" s="233" t="str">
        <f>IF(AND('Mapa final'!$H$46="Baja",'Mapa final'!$L$46="Mayor"),CONCATENATE("R",'Mapa final'!$A$46),"")</f>
        <v/>
      </c>
      <c r="AE36" s="238"/>
      <c r="AF36" s="233" t="str">
        <f>IF(AND('Mapa final'!$H$52="Baja",'Mapa final'!$L$52="Mayor"),CONCATENATE("R",'Mapa final'!$A$52),"")</f>
        <v/>
      </c>
      <c r="AG36" s="234"/>
      <c r="AH36" s="237" t="e">
        <f>IF(AND('Mapa final'!#REF!="Baja",'Mapa final'!#REF!="Catastrófico"),CONCATENATE("R",'Mapa final'!#REF!),"")</f>
        <v>#REF!</v>
      </c>
      <c r="AI36" s="238"/>
      <c r="AJ36" s="241" t="str">
        <f>IF(AND('Mapa final'!$H$46="Baja",'Mapa final'!$L$46="Catastrófico"),CONCATENATE("R",'Mapa final'!$A$46),"")</f>
        <v/>
      </c>
      <c r="AK36" s="238"/>
      <c r="AL36" s="241" t="str">
        <f>IF(AND('Mapa final'!$H$52="Baja",'Mapa final'!$L$52="Catastrófico"),CONCATENATE("R",'Mapa final'!$A$52),"")</f>
        <v/>
      </c>
      <c r="AM36" s="234"/>
      <c r="AN36" s="1"/>
      <c r="AO36" s="261"/>
      <c r="AP36" s="201"/>
      <c r="AQ36" s="201"/>
      <c r="AR36" s="201"/>
      <c r="AS36" s="201"/>
      <c r="AT36" s="262"/>
    </row>
    <row r="37" spans="2:46" ht="15.75" customHeight="1" x14ac:dyDescent="0.25">
      <c r="B37" s="278"/>
      <c r="C37" s="201"/>
      <c r="D37" s="202"/>
      <c r="E37" s="247"/>
      <c r="F37" s="271"/>
      <c r="G37" s="271"/>
      <c r="H37" s="271"/>
      <c r="I37" s="271"/>
      <c r="J37" s="247"/>
      <c r="K37" s="248"/>
      <c r="L37" s="249"/>
      <c r="M37" s="248"/>
      <c r="N37" s="249"/>
      <c r="O37" s="250"/>
      <c r="P37" s="249"/>
      <c r="Q37" s="248"/>
      <c r="R37" s="249"/>
      <c r="S37" s="248"/>
      <c r="T37" s="249"/>
      <c r="U37" s="250"/>
      <c r="V37" s="247"/>
      <c r="W37" s="248"/>
      <c r="X37" s="249"/>
      <c r="Y37" s="248"/>
      <c r="Z37" s="249"/>
      <c r="AA37" s="250"/>
      <c r="AB37" s="247"/>
      <c r="AC37" s="248"/>
      <c r="AD37" s="249"/>
      <c r="AE37" s="248"/>
      <c r="AF37" s="249"/>
      <c r="AG37" s="250"/>
      <c r="AH37" s="247"/>
      <c r="AI37" s="248"/>
      <c r="AJ37" s="249"/>
      <c r="AK37" s="248"/>
      <c r="AL37" s="249"/>
      <c r="AM37" s="250"/>
      <c r="AN37" s="1"/>
      <c r="AO37" s="263"/>
      <c r="AP37" s="264"/>
      <c r="AQ37" s="264"/>
      <c r="AR37" s="264"/>
      <c r="AS37" s="264"/>
      <c r="AT37" s="265"/>
    </row>
    <row r="38" spans="2:46" ht="15.75" customHeight="1" x14ac:dyDescent="0.25">
      <c r="B38" s="278"/>
      <c r="C38" s="201"/>
      <c r="D38" s="202"/>
      <c r="E38" s="269" t="s">
        <v>103</v>
      </c>
      <c r="F38" s="270"/>
      <c r="G38" s="270"/>
      <c r="H38" s="270"/>
      <c r="I38" s="252"/>
      <c r="J38" s="272" t="str">
        <f>IF(AND('Mapa final'!$H$16="Muy Baja",'Mapa final'!$L$16="Leve"),CONCATENATE("R",'Mapa final'!$A$16),"")</f>
        <v/>
      </c>
      <c r="K38" s="243"/>
      <c r="L38" s="274" t="str">
        <f>IF(AND('Mapa final'!$H$21="Muy Baja",'Mapa final'!$L$21="Leve"),CONCATENATE("R",'Mapa final'!$A$21),"")</f>
        <v/>
      </c>
      <c r="M38" s="243"/>
      <c r="N38" s="274" t="str">
        <f>IF(AND('Mapa final'!$H$26="Muy Baja",'Mapa final'!$L$26="Leve"),CONCATENATE("R",'Mapa final'!$A$26),"")</f>
        <v/>
      </c>
      <c r="O38" s="252"/>
      <c r="P38" s="272" t="str">
        <f>IF(AND('Mapa final'!$H$16="Muy Baja",'Mapa final'!$L$16="Menor"),CONCATENATE("R",'Mapa final'!$A$16),"")</f>
        <v/>
      </c>
      <c r="Q38" s="243"/>
      <c r="R38" s="274" t="str">
        <f>IF(AND('Mapa final'!$H$21="Muy Baja",'Mapa final'!$L$21="Menor"),CONCATENATE("R",'Mapa final'!$A$21),"")</f>
        <v/>
      </c>
      <c r="S38" s="243"/>
      <c r="T38" s="274" t="str">
        <f>IF(AND('Mapa final'!$H$26="Muy Baja",'Mapa final'!$L$26="Menor"),CONCATENATE("R",'Mapa final'!$A$26),"")</f>
        <v/>
      </c>
      <c r="U38" s="252"/>
      <c r="V38" s="253" t="str">
        <f>IF(AND('Mapa final'!$H$16="Muy Baja",'Mapa final'!$L$16="Moderado"),CONCATENATE("R",'Mapa final'!$A$16),"")</f>
        <v/>
      </c>
      <c r="W38" s="243"/>
      <c r="X38" s="251" t="str">
        <f>IF(AND('Mapa final'!$H$21="Muy Baja",'Mapa final'!$L$21="Moderado"),CONCATENATE("R",'Mapa final'!$A$21),"")</f>
        <v/>
      </c>
      <c r="Y38" s="243"/>
      <c r="Z38" s="251" t="str">
        <f>IF(AND('Mapa final'!$H$26="Muy Baja",'Mapa final'!$L$26="Moderado"),CONCATENATE("R",'Mapa final'!$A$26),"")</f>
        <v/>
      </c>
      <c r="AA38" s="252"/>
      <c r="AB38" s="242" t="str">
        <f>IF(AND('Mapa final'!$H$16="Muy Baja",'Mapa final'!$L$16="Mayor"),CONCATENATE("R",'Mapa final'!$A$16),"")</f>
        <v/>
      </c>
      <c r="AC38" s="243"/>
      <c r="AD38" s="244" t="str">
        <f>IF(AND('Mapa final'!$H$21="Muy Baja",'Mapa final'!$L$21="Mayor"),CONCATENATE("R",'Mapa final'!$A$21),"")</f>
        <v/>
      </c>
      <c r="AE38" s="243"/>
      <c r="AF38" s="244" t="str">
        <f>IF(AND('Mapa final'!$H$26="Muy Baja",'Mapa final'!$L$26="Mayor"),CONCATENATE("R",'Mapa final'!$A$26),"")</f>
        <v/>
      </c>
      <c r="AG38" s="252"/>
      <c r="AH38" s="254" t="str">
        <f>IF(AND('Mapa final'!$H$16="Muy Baja",'Mapa final'!$L$16="Catastrófico"),CONCATENATE("R",'Mapa final'!$A$16),"")</f>
        <v/>
      </c>
      <c r="AI38" s="243"/>
      <c r="AJ38" s="246" t="str">
        <f>IF(AND('Mapa final'!$H$21="Muy Baja",'Mapa final'!$L$21="Catastrófico"),CONCATENATE("R",'Mapa final'!$A$21),"")</f>
        <v/>
      </c>
      <c r="AK38" s="243"/>
      <c r="AL38" s="246" t="str">
        <f>IF(AND('Mapa final'!$H$26="Muy Baja",'Mapa final'!$L$26="Catastrófico"),CONCATENATE("R",'Mapa final'!$A$26),"")</f>
        <v/>
      </c>
      <c r="AM38" s="252"/>
      <c r="AN38" s="1"/>
      <c r="AO38" s="1"/>
      <c r="AP38" s="1"/>
      <c r="AQ38" s="1"/>
      <c r="AR38" s="1"/>
      <c r="AS38" s="1"/>
      <c r="AT38" s="1"/>
    </row>
    <row r="39" spans="2:46" ht="15.75" customHeight="1" x14ac:dyDescent="0.25">
      <c r="B39" s="278"/>
      <c r="C39" s="201"/>
      <c r="D39" s="202"/>
      <c r="E39" s="213"/>
      <c r="F39" s="201"/>
      <c r="G39" s="201"/>
      <c r="H39" s="201"/>
      <c r="I39" s="202"/>
      <c r="J39" s="239"/>
      <c r="K39" s="240"/>
      <c r="L39" s="235"/>
      <c r="M39" s="240"/>
      <c r="N39" s="235"/>
      <c r="O39" s="236"/>
      <c r="P39" s="239"/>
      <c r="Q39" s="240"/>
      <c r="R39" s="235"/>
      <c r="S39" s="240"/>
      <c r="T39" s="235"/>
      <c r="U39" s="236"/>
      <c r="V39" s="239"/>
      <c r="W39" s="240"/>
      <c r="X39" s="235"/>
      <c r="Y39" s="240"/>
      <c r="Z39" s="235"/>
      <c r="AA39" s="236"/>
      <c r="AB39" s="239"/>
      <c r="AC39" s="240"/>
      <c r="AD39" s="235"/>
      <c r="AE39" s="240"/>
      <c r="AF39" s="235"/>
      <c r="AG39" s="236"/>
      <c r="AH39" s="239"/>
      <c r="AI39" s="240"/>
      <c r="AJ39" s="235"/>
      <c r="AK39" s="240"/>
      <c r="AL39" s="235"/>
      <c r="AM39" s="236"/>
      <c r="AN39" s="1"/>
      <c r="AO39" s="1"/>
      <c r="AP39" s="1"/>
      <c r="AQ39" s="1"/>
      <c r="AR39" s="1"/>
      <c r="AS39" s="1"/>
      <c r="AT39" s="1"/>
    </row>
    <row r="40" spans="2:46" ht="15.75" customHeight="1" x14ac:dyDescent="0.25">
      <c r="B40" s="278"/>
      <c r="C40" s="201"/>
      <c r="D40" s="202"/>
      <c r="E40" s="213"/>
      <c r="F40" s="201"/>
      <c r="G40" s="201"/>
      <c r="H40" s="201"/>
      <c r="I40" s="202"/>
      <c r="J40" s="273" t="str">
        <f>IF(AND('Mapa final'!$H$31="Muy Baja",'Mapa final'!$L$31="Leve"),CONCATENATE("R",'Mapa final'!$A$31),"")</f>
        <v/>
      </c>
      <c r="K40" s="238"/>
      <c r="L40" s="255" t="str">
        <f>IF(AND('Mapa final'!$H$36="Muy Baja",'Mapa final'!$L$36="Leve"),CONCATENATE("R",'Mapa final'!$A$36),"")</f>
        <v/>
      </c>
      <c r="M40" s="238"/>
      <c r="N40" s="255" t="str">
        <f>IF(AND('Mapa final'!$H$41="Muy Baja",'Mapa final'!$L$41="Leve"),CONCATENATE("R",'Mapa final'!$A$41),"")</f>
        <v/>
      </c>
      <c r="O40" s="234"/>
      <c r="P40" s="273" t="str">
        <f>IF(AND('Mapa final'!$H$31="Muy Baja",'Mapa final'!$L$31="Menor"),CONCATENATE("R",'Mapa final'!$A$31),"")</f>
        <v/>
      </c>
      <c r="Q40" s="238"/>
      <c r="R40" s="255" t="str">
        <f>IF(AND('Mapa final'!$H$36="Muy Baja",'Mapa final'!$L$36="Menor"),CONCATENATE("R",'Mapa final'!$A$36),"")</f>
        <v/>
      </c>
      <c r="S40" s="238"/>
      <c r="T40" s="255" t="str">
        <f>IF(AND('Mapa final'!$H$41="Muy Baja",'Mapa final'!$L$41="Menor"),CONCATENATE("R",'Mapa final'!$A$41),"")</f>
        <v/>
      </c>
      <c r="U40" s="234"/>
      <c r="V40" s="257" t="str">
        <f>IF(AND('Mapa final'!$H$31="Muy Baja",'Mapa final'!$L$31="Moderado"),CONCATENATE("R",'Mapa final'!$A$31),"")</f>
        <v/>
      </c>
      <c r="W40" s="238"/>
      <c r="X40" s="256" t="str">
        <f>IF(AND('Mapa final'!$H$36="Muy Baja",'Mapa final'!$L$36="Moderado"),CONCATENATE("R",'Mapa final'!$A$36),"")</f>
        <v/>
      </c>
      <c r="Y40" s="238"/>
      <c r="Z40" s="256" t="str">
        <f>IF(AND('Mapa final'!$H$41="Muy Baja",'Mapa final'!$L$41="Moderado"),CONCATENATE("R",'Mapa final'!$A$41),"")</f>
        <v/>
      </c>
      <c r="AA40" s="234"/>
      <c r="AB40" s="245" t="str">
        <f>IF(AND('Mapa final'!$H$31="Muy Baja",'Mapa final'!$L$31="Mayor"),CONCATENATE("R",'Mapa final'!$A$31),"")</f>
        <v/>
      </c>
      <c r="AC40" s="238"/>
      <c r="AD40" s="233" t="str">
        <f>IF(AND('Mapa final'!$H$36="Muy Baja",'Mapa final'!$L$36="Mayor"),CONCATENATE("R",'Mapa final'!$A$36),"")</f>
        <v/>
      </c>
      <c r="AE40" s="238"/>
      <c r="AF40" s="233" t="str">
        <f>IF(AND('Mapa final'!$H$41="Muy Baja",'Mapa final'!$L$41="Mayor"),CONCATENATE("R",'Mapa final'!$A$41),"")</f>
        <v/>
      </c>
      <c r="AG40" s="234"/>
      <c r="AH40" s="237" t="str">
        <f>IF(AND('Mapa final'!$H$31="Muy Baja",'Mapa final'!$L$31="Catastrófico"),CONCATENATE("R",'Mapa final'!$A$31),"")</f>
        <v/>
      </c>
      <c r="AI40" s="238"/>
      <c r="AJ40" s="241" t="str">
        <f>IF(AND('Mapa final'!$H$36="Muy Baja",'Mapa final'!$L$36="Catastrófico"),CONCATENATE("R",'Mapa final'!$A$36),"")</f>
        <v/>
      </c>
      <c r="AK40" s="238"/>
      <c r="AL40" s="241" t="str">
        <f>IF(AND('Mapa final'!$H$41="Muy Baja",'Mapa final'!$L$41="Catastrófico"),CONCATENATE("R",'Mapa final'!$A$41),"")</f>
        <v/>
      </c>
      <c r="AM40" s="234"/>
      <c r="AN40" s="1"/>
      <c r="AO40" s="1"/>
      <c r="AP40" s="1"/>
      <c r="AQ40" s="1"/>
      <c r="AR40" s="1"/>
      <c r="AS40" s="1"/>
      <c r="AT40" s="1"/>
    </row>
    <row r="41" spans="2:46" ht="15.75" customHeight="1" x14ac:dyDescent="0.25">
      <c r="B41" s="278"/>
      <c r="C41" s="201"/>
      <c r="D41" s="202"/>
      <c r="E41" s="213"/>
      <c r="F41" s="201"/>
      <c r="G41" s="201"/>
      <c r="H41" s="201"/>
      <c r="I41" s="202"/>
      <c r="J41" s="239"/>
      <c r="K41" s="240"/>
      <c r="L41" s="235"/>
      <c r="M41" s="240"/>
      <c r="N41" s="235"/>
      <c r="O41" s="236"/>
      <c r="P41" s="239"/>
      <c r="Q41" s="240"/>
      <c r="R41" s="235"/>
      <c r="S41" s="240"/>
      <c r="T41" s="235"/>
      <c r="U41" s="236"/>
      <c r="V41" s="239"/>
      <c r="W41" s="240"/>
      <c r="X41" s="235"/>
      <c r="Y41" s="240"/>
      <c r="Z41" s="235"/>
      <c r="AA41" s="236"/>
      <c r="AB41" s="239"/>
      <c r="AC41" s="240"/>
      <c r="AD41" s="235"/>
      <c r="AE41" s="240"/>
      <c r="AF41" s="235"/>
      <c r="AG41" s="236"/>
      <c r="AH41" s="239"/>
      <c r="AI41" s="240"/>
      <c r="AJ41" s="235"/>
      <c r="AK41" s="240"/>
      <c r="AL41" s="235"/>
      <c r="AM41" s="236"/>
      <c r="AN41" s="1"/>
      <c r="AO41" s="1"/>
      <c r="AP41" s="1"/>
      <c r="AQ41" s="1"/>
      <c r="AR41" s="1"/>
      <c r="AS41" s="1"/>
      <c r="AT41" s="1"/>
    </row>
    <row r="42" spans="2:46" ht="15.75" customHeight="1" x14ac:dyDescent="0.25">
      <c r="B42" s="278"/>
      <c r="C42" s="201"/>
      <c r="D42" s="202"/>
      <c r="E42" s="213"/>
      <c r="F42" s="201"/>
      <c r="G42" s="201"/>
      <c r="H42" s="201"/>
      <c r="I42" s="202"/>
      <c r="J42" s="273" t="e">
        <f>IF(AND('Mapa final'!#REF!="Muy Baja",'Mapa final'!#REF!="Leve"),CONCATENATE("R",'Mapa final'!#REF!),"")</f>
        <v>#REF!</v>
      </c>
      <c r="K42" s="238"/>
      <c r="L42" s="255" t="e">
        <f>IF(AND('Mapa final'!#REF!="Muy Baja",'Mapa final'!#REF!="Leve"),CONCATENATE("R",'Mapa final'!#REF!),"")</f>
        <v>#REF!</v>
      </c>
      <c r="M42" s="238"/>
      <c r="N42" s="255" t="e">
        <f>IF(AND('Mapa final'!#REF!="Muy Baja",'Mapa final'!#REF!="Leve"),CONCATENATE("R",'Mapa final'!#REF!),"")</f>
        <v>#REF!</v>
      </c>
      <c r="O42" s="234"/>
      <c r="P42" s="273" t="e">
        <f>IF(AND('Mapa final'!#REF!="Muy Baja",'Mapa final'!#REF!="Menor"),CONCATENATE("R",'Mapa final'!#REF!),"")</f>
        <v>#REF!</v>
      </c>
      <c r="Q42" s="238"/>
      <c r="R42" s="255" t="e">
        <f>IF(AND('Mapa final'!#REF!="Muy Baja",'Mapa final'!#REF!="Menor"),CONCATENATE("R",'Mapa final'!#REF!),"")</f>
        <v>#REF!</v>
      </c>
      <c r="S42" s="238"/>
      <c r="T42" s="255" t="e">
        <f>IF(AND('Mapa final'!#REF!="Muy Baja",'Mapa final'!#REF!="Menor"),CONCATENATE("R",'Mapa final'!#REF!),"")</f>
        <v>#REF!</v>
      </c>
      <c r="U42" s="234"/>
      <c r="V42" s="257" t="e">
        <f>IF(AND('Mapa final'!#REF!="Muy Baja",'Mapa final'!#REF!="Moderado"),CONCATENATE("R",'Mapa final'!#REF!),"")</f>
        <v>#REF!</v>
      </c>
      <c r="W42" s="238"/>
      <c r="X42" s="256" t="e">
        <f>IF(AND('Mapa final'!#REF!="Muy Baja",'Mapa final'!#REF!="Moderado"),CONCATENATE("R",'Mapa final'!#REF!),"")</f>
        <v>#REF!</v>
      </c>
      <c r="Y42" s="238"/>
      <c r="Z42" s="256" t="e">
        <f>IF(AND('Mapa final'!#REF!="Muy Baja",'Mapa final'!#REF!="Moderado"),CONCATENATE("R",'Mapa final'!#REF!),"")</f>
        <v>#REF!</v>
      </c>
      <c r="AA42" s="234"/>
      <c r="AB42" s="245" t="e">
        <f>IF(AND('Mapa final'!#REF!="Muy Baja",'Mapa final'!#REF!="Mayor"),CONCATENATE("R",'Mapa final'!#REF!),"")</f>
        <v>#REF!</v>
      </c>
      <c r="AC42" s="238"/>
      <c r="AD42" s="233" t="e">
        <f>IF(AND('Mapa final'!#REF!="Muy Baja",'Mapa final'!#REF!="Mayor"),CONCATENATE("R",'Mapa final'!#REF!),"")</f>
        <v>#REF!</v>
      </c>
      <c r="AE42" s="238"/>
      <c r="AF42" s="233" t="e">
        <f>IF(AND('Mapa final'!#REF!="Muy Baja",'Mapa final'!#REF!="Mayor"),CONCATENATE("R",'Mapa final'!#REF!),"")</f>
        <v>#REF!</v>
      </c>
      <c r="AG42" s="234"/>
      <c r="AH42" s="237" t="e">
        <f>IF(AND('Mapa final'!#REF!="Muy Baja",'Mapa final'!#REF!="Catastrófico"),CONCATENATE("R",'Mapa final'!#REF!),"")</f>
        <v>#REF!</v>
      </c>
      <c r="AI42" s="238"/>
      <c r="AJ42" s="241" t="e">
        <f>IF(AND('Mapa final'!#REF!="Muy Baja",'Mapa final'!#REF!="Catastrófico"),CONCATENATE("R",'Mapa final'!#REF!),"")</f>
        <v>#REF!</v>
      </c>
      <c r="AK42" s="238"/>
      <c r="AL42" s="241" t="e">
        <f>IF(AND('Mapa final'!#REF!="Muy Baja",'Mapa final'!#REF!="Catastrófico"),CONCATENATE("R",'Mapa final'!#REF!),"")</f>
        <v>#REF!</v>
      </c>
      <c r="AM42" s="234"/>
      <c r="AN42" s="1"/>
      <c r="AO42" s="1"/>
      <c r="AP42" s="1"/>
      <c r="AQ42" s="1"/>
      <c r="AR42" s="1"/>
      <c r="AS42" s="1"/>
      <c r="AT42" s="1"/>
    </row>
    <row r="43" spans="2:46" ht="15.75" customHeight="1" x14ac:dyDescent="0.25">
      <c r="B43" s="278"/>
      <c r="C43" s="201"/>
      <c r="D43" s="202"/>
      <c r="E43" s="213"/>
      <c r="F43" s="201"/>
      <c r="G43" s="201"/>
      <c r="H43" s="201"/>
      <c r="I43" s="202"/>
      <c r="J43" s="239"/>
      <c r="K43" s="240"/>
      <c r="L43" s="235"/>
      <c r="M43" s="240"/>
      <c r="N43" s="235"/>
      <c r="O43" s="236"/>
      <c r="P43" s="239"/>
      <c r="Q43" s="240"/>
      <c r="R43" s="235"/>
      <c r="S43" s="240"/>
      <c r="T43" s="235"/>
      <c r="U43" s="236"/>
      <c r="V43" s="239"/>
      <c r="W43" s="240"/>
      <c r="X43" s="235"/>
      <c r="Y43" s="240"/>
      <c r="Z43" s="235"/>
      <c r="AA43" s="236"/>
      <c r="AB43" s="239"/>
      <c r="AC43" s="240"/>
      <c r="AD43" s="235"/>
      <c r="AE43" s="240"/>
      <c r="AF43" s="235"/>
      <c r="AG43" s="236"/>
      <c r="AH43" s="239"/>
      <c r="AI43" s="240"/>
      <c r="AJ43" s="235"/>
      <c r="AK43" s="240"/>
      <c r="AL43" s="235"/>
      <c r="AM43" s="236"/>
      <c r="AN43" s="1"/>
      <c r="AO43" s="1"/>
      <c r="AP43" s="1"/>
      <c r="AQ43" s="1"/>
      <c r="AR43" s="1"/>
      <c r="AS43" s="1"/>
      <c r="AT43" s="1"/>
    </row>
    <row r="44" spans="2:46" ht="15.75" customHeight="1" x14ac:dyDescent="0.25">
      <c r="B44" s="278"/>
      <c r="C44" s="201"/>
      <c r="D44" s="202"/>
      <c r="E44" s="213"/>
      <c r="F44" s="201"/>
      <c r="G44" s="201"/>
      <c r="H44" s="201"/>
      <c r="I44" s="202"/>
      <c r="J44" s="273" t="e">
        <f>IF(AND('Mapa final'!#REF!="Muy Baja",'Mapa final'!#REF!="Leve"),CONCATENATE("R",'Mapa final'!#REF!),"")</f>
        <v>#REF!</v>
      </c>
      <c r="K44" s="238"/>
      <c r="L44" s="255" t="str">
        <f>IF(AND('Mapa final'!$H$46="Muy Baja",'Mapa final'!$L$46="Leve"),CONCATENATE("R",'Mapa final'!$A$46),"")</f>
        <v/>
      </c>
      <c r="M44" s="238"/>
      <c r="N44" s="255" t="str">
        <f>IF(AND('Mapa final'!$H$52="Muy Baja",'Mapa final'!$L$52="Leve"),CONCATENATE("R",'Mapa final'!$A$52),"")</f>
        <v/>
      </c>
      <c r="O44" s="234"/>
      <c r="P44" s="273" t="e">
        <f>IF(AND('Mapa final'!#REF!="Muy Baja",'Mapa final'!#REF!="Menor"),CONCATENATE("R",'Mapa final'!#REF!),"")</f>
        <v>#REF!</v>
      </c>
      <c r="Q44" s="238"/>
      <c r="R44" s="255" t="str">
        <f>IF(AND('Mapa final'!$H$46="Muy Baja",'Mapa final'!$L$46="Menor"),CONCATENATE("R",'Mapa final'!$A$46),"")</f>
        <v/>
      </c>
      <c r="S44" s="238"/>
      <c r="T44" s="255" t="str">
        <f>IF(AND('Mapa final'!$H$52="Muy Baja",'Mapa final'!$L$52="Menor"),CONCATENATE("R",'Mapa final'!$A$52),"")</f>
        <v/>
      </c>
      <c r="U44" s="234"/>
      <c r="V44" s="257" t="e">
        <f>IF(AND('Mapa final'!#REF!="Muy Baja",'Mapa final'!#REF!="Moderado"),CONCATENATE("R",'Mapa final'!#REF!),"")</f>
        <v>#REF!</v>
      </c>
      <c r="W44" s="238"/>
      <c r="X44" s="256" t="str">
        <f>IF(AND('Mapa final'!$H$46="Muy Baja",'Mapa final'!$L$46="Moderado"),CONCATENATE("R",'Mapa final'!$A$46),"")</f>
        <v/>
      </c>
      <c r="Y44" s="238"/>
      <c r="Z44" s="256" t="str">
        <f>IF(AND('Mapa final'!$H$52="Muy Baja",'Mapa final'!$L$52="Moderado"),CONCATENATE("R",'Mapa final'!$A$52),"")</f>
        <v/>
      </c>
      <c r="AA44" s="234"/>
      <c r="AB44" s="245" t="e">
        <f>IF(AND('Mapa final'!#REF!="Muy Baja",'Mapa final'!#REF!="Mayor"),CONCATENATE("R",'Mapa final'!#REF!),"")</f>
        <v>#REF!</v>
      </c>
      <c r="AC44" s="238"/>
      <c r="AD44" s="233" t="str">
        <f>IF(AND('Mapa final'!$H$46="Muy Baja",'Mapa final'!$L$46="Mayor"),CONCATENATE("R",'Mapa final'!$A$46),"")</f>
        <v/>
      </c>
      <c r="AE44" s="238"/>
      <c r="AF44" s="233" t="str">
        <f>IF(AND('Mapa final'!$H$52="Muy Baja",'Mapa final'!$L$52="Mayor"),CONCATENATE("R",'Mapa final'!$A$52),"")</f>
        <v/>
      </c>
      <c r="AG44" s="234"/>
      <c r="AH44" s="237" t="e">
        <f>IF(AND('Mapa final'!#REF!="Muy Baja",'Mapa final'!#REF!="Catastrófico"),CONCATENATE("R",'Mapa final'!#REF!),"")</f>
        <v>#REF!</v>
      </c>
      <c r="AI44" s="238"/>
      <c r="AJ44" s="241" t="str">
        <f>IF(AND('Mapa final'!$H$46="Muy Baja",'Mapa final'!$L$46="Catastrófico"),CONCATENATE("R",'Mapa final'!$A$46),"")</f>
        <v/>
      </c>
      <c r="AK44" s="238"/>
      <c r="AL44" s="241" t="str">
        <f>IF(AND('Mapa final'!$H$52="Muy Baja",'Mapa final'!$L$52="Catastrófico"),CONCATENATE("R",'Mapa final'!$A$52),"")</f>
        <v/>
      </c>
      <c r="AM44" s="234"/>
      <c r="AN44" s="1"/>
      <c r="AO44" s="1"/>
      <c r="AP44" s="1"/>
      <c r="AQ44" s="1"/>
      <c r="AR44" s="1"/>
      <c r="AS44" s="1"/>
      <c r="AT44" s="1"/>
    </row>
    <row r="45" spans="2:46" ht="15.75" customHeight="1" x14ac:dyDescent="0.25">
      <c r="B45" s="235"/>
      <c r="C45" s="280"/>
      <c r="D45" s="236"/>
      <c r="E45" s="247"/>
      <c r="F45" s="271"/>
      <c r="G45" s="271"/>
      <c r="H45" s="271"/>
      <c r="I45" s="250"/>
      <c r="J45" s="247"/>
      <c r="K45" s="248"/>
      <c r="L45" s="249"/>
      <c r="M45" s="248"/>
      <c r="N45" s="249"/>
      <c r="O45" s="250"/>
      <c r="P45" s="247"/>
      <c r="Q45" s="248"/>
      <c r="R45" s="249"/>
      <c r="S45" s="248"/>
      <c r="T45" s="249"/>
      <c r="U45" s="250"/>
      <c r="V45" s="247"/>
      <c r="W45" s="248"/>
      <c r="X45" s="249"/>
      <c r="Y45" s="248"/>
      <c r="Z45" s="249"/>
      <c r="AA45" s="250"/>
      <c r="AB45" s="247"/>
      <c r="AC45" s="248"/>
      <c r="AD45" s="249"/>
      <c r="AE45" s="248"/>
      <c r="AF45" s="249"/>
      <c r="AG45" s="250"/>
      <c r="AH45" s="247"/>
      <c r="AI45" s="248"/>
      <c r="AJ45" s="249"/>
      <c r="AK45" s="248"/>
      <c r="AL45" s="249"/>
      <c r="AM45" s="250"/>
      <c r="AN45" s="1"/>
      <c r="AO45" s="1"/>
      <c r="AP45" s="1"/>
      <c r="AQ45" s="1"/>
      <c r="AR45" s="1"/>
      <c r="AS45" s="1"/>
      <c r="AT45" s="1"/>
    </row>
    <row r="46" spans="2:46" ht="15.75" customHeight="1" x14ac:dyDescent="0.25">
      <c r="B46" s="1"/>
      <c r="C46" s="1"/>
      <c r="D46" s="1"/>
      <c r="E46" s="1"/>
      <c r="F46" s="1"/>
      <c r="G46" s="1"/>
      <c r="H46" s="1"/>
      <c r="I46" s="1"/>
      <c r="J46" s="269" t="s">
        <v>104</v>
      </c>
      <c r="K46" s="270"/>
      <c r="L46" s="270"/>
      <c r="M46" s="270"/>
      <c r="N46" s="270"/>
      <c r="O46" s="252"/>
      <c r="P46" s="269" t="s">
        <v>105</v>
      </c>
      <c r="Q46" s="270"/>
      <c r="R46" s="270"/>
      <c r="S46" s="270"/>
      <c r="T46" s="270"/>
      <c r="U46" s="252"/>
      <c r="V46" s="269" t="s">
        <v>106</v>
      </c>
      <c r="W46" s="270"/>
      <c r="X46" s="270"/>
      <c r="Y46" s="270"/>
      <c r="Z46" s="270"/>
      <c r="AA46" s="252"/>
      <c r="AB46" s="269" t="s">
        <v>107</v>
      </c>
      <c r="AC46" s="270"/>
      <c r="AD46" s="270"/>
      <c r="AE46" s="270"/>
      <c r="AF46" s="270"/>
      <c r="AG46" s="252"/>
      <c r="AH46" s="269" t="s">
        <v>108</v>
      </c>
      <c r="AI46" s="270"/>
      <c r="AJ46" s="270"/>
      <c r="AK46" s="270"/>
      <c r="AL46" s="270"/>
      <c r="AM46" s="252"/>
      <c r="AN46" s="1"/>
      <c r="AO46" s="1"/>
      <c r="AP46" s="1"/>
      <c r="AQ46" s="1"/>
      <c r="AR46" s="1"/>
      <c r="AS46" s="1"/>
      <c r="AT46" s="1"/>
    </row>
    <row r="47" spans="2:46" ht="15.75" customHeight="1" x14ac:dyDescent="0.25">
      <c r="B47" s="1"/>
      <c r="C47" s="1"/>
      <c r="D47" s="1"/>
      <c r="E47" s="1"/>
      <c r="F47" s="1"/>
      <c r="G47" s="1"/>
      <c r="H47" s="1"/>
      <c r="I47" s="1"/>
      <c r="J47" s="213"/>
      <c r="K47" s="201"/>
      <c r="L47" s="201"/>
      <c r="M47" s="201"/>
      <c r="N47" s="201"/>
      <c r="O47" s="202"/>
      <c r="P47" s="213"/>
      <c r="Q47" s="201"/>
      <c r="R47" s="201"/>
      <c r="S47" s="201"/>
      <c r="T47" s="201"/>
      <c r="U47" s="202"/>
      <c r="V47" s="213"/>
      <c r="W47" s="201"/>
      <c r="X47" s="201"/>
      <c r="Y47" s="201"/>
      <c r="Z47" s="201"/>
      <c r="AA47" s="202"/>
      <c r="AB47" s="213"/>
      <c r="AC47" s="201"/>
      <c r="AD47" s="201"/>
      <c r="AE47" s="201"/>
      <c r="AF47" s="201"/>
      <c r="AG47" s="202"/>
      <c r="AH47" s="213"/>
      <c r="AI47" s="201"/>
      <c r="AJ47" s="201"/>
      <c r="AK47" s="201"/>
      <c r="AL47" s="201"/>
      <c r="AM47" s="202"/>
      <c r="AN47" s="1"/>
      <c r="AO47" s="1"/>
      <c r="AP47" s="1"/>
      <c r="AQ47" s="1"/>
      <c r="AR47" s="1"/>
      <c r="AS47" s="1"/>
      <c r="AT47" s="1"/>
    </row>
    <row r="48" spans="2:46" ht="15.75" customHeight="1" x14ac:dyDescent="0.25">
      <c r="B48" s="1"/>
      <c r="C48" s="1"/>
      <c r="D48" s="1"/>
      <c r="E48" s="1"/>
      <c r="F48" s="1"/>
      <c r="G48" s="1"/>
      <c r="H48" s="1"/>
      <c r="I48" s="1"/>
      <c r="J48" s="213"/>
      <c r="K48" s="201"/>
      <c r="L48" s="201"/>
      <c r="M48" s="201"/>
      <c r="N48" s="201"/>
      <c r="O48" s="202"/>
      <c r="P48" s="213"/>
      <c r="Q48" s="201"/>
      <c r="R48" s="201"/>
      <c r="S48" s="201"/>
      <c r="T48" s="201"/>
      <c r="U48" s="202"/>
      <c r="V48" s="213"/>
      <c r="W48" s="201"/>
      <c r="X48" s="201"/>
      <c r="Y48" s="201"/>
      <c r="Z48" s="201"/>
      <c r="AA48" s="202"/>
      <c r="AB48" s="213"/>
      <c r="AC48" s="201"/>
      <c r="AD48" s="201"/>
      <c r="AE48" s="201"/>
      <c r="AF48" s="201"/>
      <c r="AG48" s="202"/>
      <c r="AH48" s="213"/>
      <c r="AI48" s="201"/>
      <c r="AJ48" s="201"/>
      <c r="AK48" s="201"/>
      <c r="AL48" s="201"/>
      <c r="AM48" s="202"/>
      <c r="AN48" s="1"/>
      <c r="AO48" s="1"/>
      <c r="AP48" s="1"/>
      <c r="AQ48" s="1"/>
      <c r="AR48" s="1"/>
      <c r="AS48" s="1"/>
      <c r="AT48" s="1"/>
    </row>
    <row r="49" spans="2:39" ht="15.75" customHeight="1" x14ac:dyDescent="0.25">
      <c r="B49" s="1"/>
      <c r="C49" s="1"/>
      <c r="D49" s="1"/>
      <c r="E49" s="1"/>
      <c r="F49" s="1"/>
      <c r="G49" s="1"/>
      <c r="H49" s="1"/>
      <c r="I49" s="1"/>
      <c r="J49" s="213"/>
      <c r="K49" s="201"/>
      <c r="L49" s="201"/>
      <c r="M49" s="201"/>
      <c r="N49" s="201"/>
      <c r="O49" s="202"/>
      <c r="P49" s="213"/>
      <c r="Q49" s="201"/>
      <c r="R49" s="201"/>
      <c r="S49" s="201"/>
      <c r="T49" s="201"/>
      <c r="U49" s="202"/>
      <c r="V49" s="213"/>
      <c r="W49" s="201"/>
      <c r="X49" s="201"/>
      <c r="Y49" s="201"/>
      <c r="Z49" s="201"/>
      <c r="AA49" s="202"/>
      <c r="AB49" s="213"/>
      <c r="AC49" s="201"/>
      <c r="AD49" s="201"/>
      <c r="AE49" s="201"/>
      <c r="AF49" s="201"/>
      <c r="AG49" s="202"/>
      <c r="AH49" s="213"/>
      <c r="AI49" s="201"/>
      <c r="AJ49" s="201"/>
      <c r="AK49" s="201"/>
      <c r="AL49" s="201"/>
      <c r="AM49" s="202"/>
    </row>
    <row r="50" spans="2:39" ht="15.75" customHeight="1" x14ac:dyDescent="0.25">
      <c r="B50" s="1"/>
      <c r="C50" s="1"/>
      <c r="D50" s="1"/>
      <c r="E50" s="1"/>
      <c r="F50" s="1"/>
      <c r="G50" s="1"/>
      <c r="H50" s="1"/>
      <c r="I50" s="1"/>
      <c r="J50" s="213"/>
      <c r="K50" s="201"/>
      <c r="L50" s="201"/>
      <c r="M50" s="201"/>
      <c r="N50" s="201"/>
      <c r="O50" s="202"/>
      <c r="P50" s="213"/>
      <c r="Q50" s="201"/>
      <c r="R50" s="201"/>
      <c r="S50" s="201"/>
      <c r="T50" s="201"/>
      <c r="U50" s="202"/>
      <c r="V50" s="213"/>
      <c r="W50" s="201"/>
      <c r="X50" s="201"/>
      <c r="Y50" s="201"/>
      <c r="Z50" s="201"/>
      <c r="AA50" s="202"/>
      <c r="AB50" s="213"/>
      <c r="AC50" s="201"/>
      <c r="AD50" s="201"/>
      <c r="AE50" s="201"/>
      <c r="AF50" s="201"/>
      <c r="AG50" s="202"/>
      <c r="AH50" s="213"/>
      <c r="AI50" s="201"/>
      <c r="AJ50" s="201"/>
      <c r="AK50" s="201"/>
      <c r="AL50" s="201"/>
      <c r="AM50" s="202"/>
    </row>
    <row r="51" spans="2:39" ht="15.75" customHeight="1" x14ac:dyDescent="0.25">
      <c r="B51" s="1"/>
      <c r="C51" s="1"/>
      <c r="D51" s="1"/>
      <c r="E51" s="1"/>
      <c r="F51" s="1"/>
      <c r="G51" s="1"/>
      <c r="H51" s="1"/>
      <c r="I51" s="1"/>
      <c r="J51" s="247"/>
      <c r="K51" s="271"/>
      <c r="L51" s="271"/>
      <c r="M51" s="271"/>
      <c r="N51" s="271"/>
      <c r="O51" s="250"/>
      <c r="P51" s="247"/>
      <c r="Q51" s="271"/>
      <c r="R51" s="271"/>
      <c r="S51" s="271"/>
      <c r="T51" s="271"/>
      <c r="U51" s="250"/>
      <c r="V51" s="247"/>
      <c r="W51" s="271"/>
      <c r="X51" s="271"/>
      <c r="Y51" s="271"/>
      <c r="Z51" s="271"/>
      <c r="AA51" s="250"/>
      <c r="AB51" s="247"/>
      <c r="AC51" s="271"/>
      <c r="AD51" s="271"/>
      <c r="AE51" s="271"/>
      <c r="AF51" s="271"/>
      <c r="AG51" s="250"/>
      <c r="AH51" s="247"/>
      <c r="AI51" s="271"/>
      <c r="AJ51" s="271"/>
      <c r="AK51" s="271"/>
      <c r="AL51" s="271"/>
      <c r="AM51" s="250"/>
    </row>
  </sheetData>
  <mergeCells count="317">
    <mergeCell ref="Z34:AA35"/>
    <mergeCell ref="X30:Y31"/>
    <mergeCell ref="Z30:AA31"/>
    <mergeCell ref="AB30:AC31"/>
    <mergeCell ref="AD30:AE31"/>
    <mergeCell ref="AF30:AG31"/>
    <mergeCell ref="AJ30:AK31"/>
    <mergeCell ref="AL30:AM31"/>
    <mergeCell ref="L32:M33"/>
    <mergeCell ref="N32:O33"/>
    <mergeCell ref="P32:Q33"/>
    <mergeCell ref="R32:S33"/>
    <mergeCell ref="T32:U33"/>
    <mergeCell ref="V32:W33"/>
    <mergeCell ref="X32:Y33"/>
    <mergeCell ref="Z32:AA33"/>
    <mergeCell ref="AB32:AC33"/>
    <mergeCell ref="AD32:AE33"/>
    <mergeCell ref="AF32:AG33"/>
    <mergeCell ref="AH32:AI33"/>
    <mergeCell ref="AJ32:AK33"/>
    <mergeCell ref="AL32:AM33"/>
    <mergeCell ref="T30:U31"/>
    <mergeCell ref="V30:W31"/>
    <mergeCell ref="AJ24:AK25"/>
    <mergeCell ref="AL24:AM25"/>
    <mergeCell ref="L26:M27"/>
    <mergeCell ref="N26:O27"/>
    <mergeCell ref="P26:Q27"/>
    <mergeCell ref="R26:S27"/>
    <mergeCell ref="T26:U27"/>
    <mergeCell ref="V26:W27"/>
    <mergeCell ref="X26:Y27"/>
    <mergeCell ref="Z26:AA27"/>
    <mergeCell ref="AB26:AC27"/>
    <mergeCell ref="AD26:AE27"/>
    <mergeCell ref="AF26:AG27"/>
    <mergeCell ref="AH26:AI27"/>
    <mergeCell ref="AL26:AM27"/>
    <mergeCell ref="AJ26:AK27"/>
    <mergeCell ref="E14:I21"/>
    <mergeCell ref="J14:K15"/>
    <mergeCell ref="J16:K17"/>
    <mergeCell ref="J18:K19"/>
    <mergeCell ref="J20:K21"/>
    <mergeCell ref="P20:Q21"/>
    <mergeCell ref="R20:S21"/>
    <mergeCell ref="L22:M23"/>
    <mergeCell ref="N22:O23"/>
    <mergeCell ref="P22:Q23"/>
    <mergeCell ref="R22:S23"/>
    <mergeCell ref="E22:I29"/>
    <mergeCell ref="J28:K29"/>
    <mergeCell ref="J22:K23"/>
    <mergeCell ref="J24:K25"/>
    <mergeCell ref="J26:K27"/>
    <mergeCell ref="P24:Q25"/>
    <mergeCell ref="R24:S25"/>
    <mergeCell ref="AJ44:AK45"/>
    <mergeCell ref="AB46:AG51"/>
    <mergeCell ref="AH46:AM51"/>
    <mergeCell ref="AF44:AG45"/>
    <mergeCell ref="AH44:AI45"/>
    <mergeCell ref="T22:U23"/>
    <mergeCell ref="V22:W23"/>
    <mergeCell ref="X22:Y23"/>
    <mergeCell ref="Z22:AA23"/>
    <mergeCell ref="AB22:AC23"/>
    <mergeCell ref="AD22:AE23"/>
    <mergeCell ref="AF22:AG23"/>
    <mergeCell ref="AH22:AI23"/>
    <mergeCell ref="AF28:AG29"/>
    <mergeCell ref="AH28:AI29"/>
    <mergeCell ref="AJ28:AK29"/>
    <mergeCell ref="AL28:AM29"/>
    <mergeCell ref="AH24:AI25"/>
    <mergeCell ref="T24:U25"/>
    <mergeCell ref="V24:W25"/>
    <mergeCell ref="X24:Y25"/>
    <mergeCell ref="Z24:AA25"/>
    <mergeCell ref="AB24:AC25"/>
    <mergeCell ref="AJ22:AK23"/>
    <mergeCell ref="J46:O51"/>
    <mergeCell ref="P44:Q45"/>
    <mergeCell ref="R44:S45"/>
    <mergeCell ref="P46:U51"/>
    <mergeCell ref="T44:U45"/>
    <mergeCell ref="V44:W45"/>
    <mergeCell ref="X44:Y45"/>
    <mergeCell ref="Z44:AA45"/>
    <mergeCell ref="V46:AA51"/>
    <mergeCell ref="AD42:AE43"/>
    <mergeCell ref="AF42:AG43"/>
    <mergeCell ref="AH42:AI43"/>
    <mergeCell ref="AH36:AI37"/>
    <mergeCell ref="L28:M29"/>
    <mergeCell ref="AB28:AC29"/>
    <mergeCell ref="AD28:AE29"/>
    <mergeCell ref="P42:Q43"/>
    <mergeCell ref="R42:S43"/>
    <mergeCell ref="T42:U43"/>
    <mergeCell ref="V42:W43"/>
    <mergeCell ref="X42:Y43"/>
    <mergeCell ref="Z42:AA43"/>
    <mergeCell ref="AB42:AC43"/>
    <mergeCell ref="X40:Y41"/>
    <mergeCell ref="Z40:AA41"/>
    <mergeCell ref="AB40:AC41"/>
    <mergeCell ref="AD40:AE41"/>
    <mergeCell ref="AF40:AG41"/>
    <mergeCell ref="AH40:AI41"/>
    <mergeCell ref="AH30:AI31"/>
    <mergeCell ref="T34:U35"/>
    <mergeCell ref="V34:W35"/>
    <mergeCell ref="X34:Y35"/>
    <mergeCell ref="AL44:AM45"/>
    <mergeCell ref="B2:I4"/>
    <mergeCell ref="J2:AM4"/>
    <mergeCell ref="B6:D45"/>
    <mergeCell ref="E6:I13"/>
    <mergeCell ref="L6:M7"/>
    <mergeCell ref="N6:O7"/>
    <mergeCell ref="AL8:AM9"/>
    <mergeCell ref="AJ42:AK43"/>
    <mergeCell ref="AL42:AM43"/>
    <mergeCell ref="L44:M45"/>
    <mergeCell ref="N44:O45"/>
    <mergeCell ref="AB44:AC45"/>
    <mergeCell ref="AD44:AE45"/>
    <mergeCell ref="AL22:AM23"/>
    <mergeCell ref="L24:M25"/>
    <mergeCell ref="N24:O25"/>
    <mergeCell ref="AL38:AM39"/>
    <mergeCell ref="L40:M41"/>
    <mergeCell ref="N40:O41"/>
    <mergeCell ref="P40:Q41"/>
    <mergeCell ref="R40:S41"/>
    <mergeCell ref="T40:U41"/>
    <mergeCell ref="V40:W41"/>
    <mergeCell ref="AJ40:AK41"/>
    <mergeCell ref="AL40:AM41"/>
    <mergeCell ref="T38:U39"/>
    <mergeCell ref="V38:W39"/>
    <mergeCell ref="X38:Y39"/>
    <mergeCell ref="Z38:AA39"/>
    <mergeCell ref="AB38:AC39"/>
    <mergeCell ref="AD38:AE39"/>
    <mergeCell ref="AF38:AG39"/>
    <mergeCell ref="AH38:AI39"/>
    <mergeCell ref="AJ38:AK39"/>
    <mergeCell ref="E30:I37"/>
    <mergeCell ref="J30:K31"/>
    <mergeCell ref="J32:K33"/>
    <mergeCell ref="J34:K35"/>
    <mergeCell ref="J36:K37"/>
    <mergeCell ref="L38:M39"/>
    <mergeCell ref="N38:O39"/>
    <mergeCell ref="P38:Q39"/>
    <mergeCell ref="R38:S39"/>
    <mergeCell ref="L30:M31"/>
    <mergeCell ref="N30:O31"/>
    <mergeCell ref="P30:Q31"/>
    <mergeCell ref="R30:S31"/>
    <mergeCell ref="L34:M35"/>
    <mergeCell ref="N34:O35"/>
    <mergeCell ref="P34:Q35"/>
    <mergeCell ref="R34:S35"/>
    <mergeCell ref="E38:I45"/>
    <mergeCell ref="J38:K39"/>
    <mergeCell ref="J40:K41"/>
    <mergeCell ref="J42:K43"/>
    <mergeCell ref="J44:K45"/>
    <mergeCell ref="L42:M43"/>
    <mergeCell ref="N42:O43"/>
    <mergeCell ref="AL6:AM7"/>
    <mergeCell ref="AO6:AT13"/>
    <mergeCell ref="AJ10:AK11"/>
    <mergeCell ref="AL10:AM11"/>
    <mergeCell ref="AL16:AM17"/>
    <mergeCell ref="AL20:AM21"/>
    <mergeCell ref="T6:U7"/>
    <mergeCell ref="V6:W7"/>
    <mergeCell ref="T20:U21"/>
    <mergeCell ref="V20:W21"/>
    <mergeCell ref="X20:Y21"/>
    <mergeCell ref="Z20:AA21"/>
    <mergeCell ref="AB20:AC21"/>
    <mergeCell ref="X6:Y7"/>
    <mergeCell ref="Z6:AA7"/>
    <mergeCell ref="AB6:AC7"/>
    <mergeCell ref="AD6:AE7"/>
    <mergeCell ref="AF6:AG7"/>
    <mergeCell ref="AH6:AI7"/>
    <mergeCell ref="Z10:AA11"/>
    <mergeCell ref="AB10:AC11"/>
    <mergeCell ref="AD10:AE11"/>
    <mergeCell ref="AF10:AG11"/>
    <mergeCell ref="AH10:AI11"/>
    <mergeCell ref="AJ18:AK19"/>
    <mergeCell ref="AL18:AM19"/>
    <mergeCell ref="L20:M21"/>
    <mergeCell ref="N20:O21"/>
    <mergeCell ref="AJ16:AK17"/>
    <mergeCell ref="AJ20:AK21"/>
    <mergeCell ref="AO30:AT37"/>
    <mergeCell ref="AJ36:AK37"/>
    <mergeCell ref="AL36:AM37"/>
    <mergeCell ref="AD16:AE17"/>
    <mergeCell ref="AF16:AG17"/>
    <mergeCell ref="AH16:AI17"/>
    <mergeCell ref="AD20:AE21"/>
    <mergeCell ref="AF20:AG21"/>
    <mergeCell ref="AH20:AI21"/>
    <mergeCell ref="AO14:AT21"/>
    <mergeCell ref="AO22:AT29"/>
    <mergeCell ref="AB34:AC35"/>
    <mergeCell ref="AD34:AE35"/>
    <mergeCell ref="AF34:AG35"/>
    <mergeCell ref="AH34:AI35"/>
    <mergeCell ref="AJ34:AK35"/>
    <mergeCell ref="AL34:AM35"/>
    <mergeCell ref="L36:M37"/>
    <mergeCell ref="T16:U17"/>
    <mergeCell ref="V16:W17"/>
    <mergeCell ref="X16:Y17"/>
    <mergeCell ref="Z16:AA17"/>
    <mergeCell ref="AB16:AC17"/>
    <mergeCell ref="L18:M19"/>
    <mergeCell ref="N18:O19"/>
    <mergeCell ref="P18:Q19"/>
    <mergeCell ref="R18:S19"/>
    <mergeCell ref="X18:Y19"/>
    <mergeCell ref="Z18:AA19"/>
    <mergeCell ref="AB18:AC19"/>
    <mergeCell ref="L16:M17"/>
    <mergeCell ref="N16:O17"/>
    <mergeCell ref="P16:Q17"/>
    <mergeCell ref="R16:S17"/>
    <mergeCell ref="AD18:AE19"/>
    <mergeCell ref="AF18:AG19"/>
    <mergeCell ref="AH18:AI19"/>
    <mergeCell ref="N36:O37"/>
    <mergeCell ref="P36:Q37"/>
    <mergeCell ref="R36:S37"/>
    <mergeCell ref="T36:U37"/>
    <mergeCell ref="V36:W37"/>
    <mergeCell ref="X36:Y37"/>
    <mergeCell ref="T18:U19"/>
    <mergeCell ref="V18:W19"/>
    <mergeCell ref="AB36:AC37"/>
    <mergeCell ref="AD36:AE37"/>
    <mergeCell ref="AF36:AG37"/>
    <mergeCell ref="Z36:AA37"/>
    <mergeCell ref="AD24:AE25"/>
    <mergeCell ref="AF24:AG25"/>
    <mergeCell ref="N28:O29"/>
    <mergeCell ref="P28:Q29"/>
    <mergeCell ref="R28:S29"/>
    <mergeCell ref="T28:U29"/>
    <mergeCell ref="V28:W29"/>
    <mergeCell ref="X28:Y29"/>
    <mergeCell ref="Z28:AA29"/>
    <mergeCell ref="AD12:AE13"/>
    <mergeCell ref="AF12:AG13"/>
    <mergeCell ref="AH12:AI13"/>
    <mergeCell ref="AJ12:AK13"/>
    <mergeCell ref="AL12:AM13"/>
    <mergeCell ref="L14:M15"/>
    <mergeCell ref="N14:O15"/>
    <mergeCell ref="P14:Q15"/>
    <mergeCell ref="R14:S15"/>
    <mergeCell ref="T14:U15"/>
    <mergeCell ref="V14:W15"/>
    <mergeCell ref="X14:Y15"/>
    <mergeCell ref="Z14:AA15"/>
    <mergeCell ref="AB14:AC15"/>
    <mergeCell ref="AD14:AE15"/>
    <mergeCell ref="AF14:AG15"/>
    <mergeCell ref="AH14:AI15"/>
    <mergeCell ref="AJ14:AK15"/>
    <mergeCell ref="AL14:AM15"/>
    <mergeCell ref="T12:U13"/>
    <mergeCell ref="V12:W13"/>
    <mergeCell ref="X12:Y13"/>
    <mergeCell ref="Z12:AA13"/>
    <mergeCell ref="AB12:AC13"/>
    <mergeCell ref="J8:K9"/>
    <mergeCell ref="L8:M9"/>
    <mergeCell ref="J12:K13"/>
    <mergeCell ref="L12:M13"/>
    <mergeCell ref="N12:O13"/>
    <mergeCell ref="P12:Q13"/>
    <mergeCell ref="R12:S13"/>
    <mergeCell ref="J6:K7"/>
    <mergeCell ref="J10:K11"/>
    <mergeCell ref="AF8:AG9"/>
    <mergeCell ref="AH8:AI9"/>
    <mergeCell ref="AJ8:AK9"/>
    <mergeCell ref="L10:M11"/>
    <mergeCell ref="N10:O11"/>
    <mergeCell ref="P6:Q7"/>
    <mergeCell ref="R6:S7"/>
    <mergeCell ref="P10:Q11"/>
    <mergeCell ref="R10:S11"/>
    <mergeCell ref="T10:U11"/>
    <mergeCell ref="V10:W11"/>
    <mergeCell ref="X10:Y11"/>
    <mergeCell ref="AJ6:AK7"/>
    <mergeCell ref="N8:O9"/>
    <mergeCell ref="P8:Q9"/>
    <mergeCell ref="R8:S9"/>
    <mergeCell ref="T8:U9"/>
    <mergeCell ref="V8:W9"/>
    <mergeCell ref="X8:Y9"/>
    <mergeCell ref="Z8:AA9"/>
    <mergeCell ref="AB8:AC9"/>
    <mergeCell ref="AD8:AE9"/>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T61"/>
  <sheetViews>
    <sheetView topLeftCell="A3" zoomScale="50" zoomScaleNormal="50" workbookViewId="0">
      <selection activeCell="T46" sqref="T46"/>
    </sheetView>
  </sheetViews>
  <sheetFormatPr baseColWidth="10" defaultColWidth="12.625" defaultRowHeight="15" customHeight="1" x14ac:dyDescent="0.2"/>
  <cols>
    <col min="1" max="1" width="9.375" customWidth="1"/>
    <col min="2" max="18" width="5" customWidth="1"/>
    <col min="19" max="19" width="7.375" customWidth="1"/>
    <col min="20" max="23" width="5" customWidth="1"/>
    <col min="24" max="24" width="7.5" customWidth="1"/>
    <col min="25" max="26" width="5" customWidth="1"/>
    <col min="27" max="27" width="9.375" customWidth="1"/>
    <col min="28" max="28" width="5" customWidth="1"/>
    <col min="29" max="29" width="6.5" customWidth="1"/>
    <col min="30" max="33" width="5" customWidth="1"/>
    <col min="34" max="34" width="7.5" customWidth="1"/>
    <col min="35" max="39" width="5" customWidth="1"/>
    <col min="40" max="40" width="9.375" customWidth="1"/>
    <col min="41" max="46" width="5" customWidth="1"/>
    <col min="47" max="61" width="9.375" customWidth="1"/>
  </cols>
  <sheetData>
    <row r="2" spans="2:46" ht="18" customHeight="1" x14ac:dyDescent="0.25">
      <c r="B2" s="287" t="s">
        <v>109</v>
      </c>
      <c r="C2" s="201"/>
      <c r="D2" s="201"/>
      <c r="E2" s="201"/>
      <c r="F2" s="201"/>
      <c r="G2" s="201"/>
      <c r="H2" s="201"/>
      <c r="I2" s="201"/>
      <c r="J2" s="276" t="s">
        <v>15</v>
      </c>
      <c r="K2" s="277"/>
      <c r="L2" s="277"/>
      <c r="M2" s="277"/>
      <c r="N2" s="277"/>
      <c r="O2" s="277"/>
      <c r="P2" s="277"/>
      <c r="Q2" s="277"/>
      <c r="R2" s="277"/>
      <c r="S2" s="277"/>
      <c r="T2" s="277"/>
      <c r="U2" s="277"/>
      <c r="V2" s="277"/>
      <c r="W2" s="277"/>
      <c r="X2" s="277"/>
      <c r="Y2" s="277"/>
      <c r="Z2" s="277"/>
      <c r="AA2" s="277"/>
      <c r="AB2" s="277"/>
      <c r="AC2" s="277"/>
      <c r="AD2" s="277"/>
      <c r="AE2" s="277"/>
      <c r="AF2" s="277"/>
      <c r="AG2" s="277"/>
      <c r="AH2" s="277"/>
      <c r="AI2" s="277"/>
      <c r="AJ2" s="277"/>
      <c r="AK2" s="277"/>
      <c r="AL2" s="277"/>
      <c r="AM2" s="238"/>
      <c r="AN2" s="1"/>
      <c r="AO2" s="1"/>
      <c r="AP2" s="1"/>
      <c r="AQ2" s="1"/>
      <c r="AR2" s="1"/>
      <c r="AS2" s="1"/>
      <c r="AT2" s="1"/>
    </row>
    <row r="3" spans="2:46" ht="18.75" customHeight="1" x14ac:dyDescent="0.25">
      <c r="B3" s="201"/>
      <c r="C3" s="201"/>
      <c r="D3" s="201"/>
      <c r="E3" s="201"/>
      <c r="F3" s="201"/>
      <c r="G3" s="201"/>
      <c r="H3" s="201"/>
      <c r="I3" s="201"/>
      <c r="J3" s="278"/>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201"/>
      <c r="AL3" s="201"/>
      <c r="AM3" s="279"/>
      <c r="AN3" s="1"/>
      <c r="AO3" s="1"/>
      <c r="AP3" s="1"/>
      <c r="AQ3" s="1"/>
      <c r="AR3" s="1"/>
      <c r="AS3" s="1"/>
      <c r="AT3" s="1"/>
    </row>
    <row r="4" spans="2:46" ht="15" customHeight="1" x14ac:dyDescent="0.25">
      <c r="B4" s="201"/>
      <c r="C4" s="201"/>
      <c r="D4" s="201"/>
      <c r="E4" s="201"/>
      <c r="F4" s="201"/>
      <c r="G4" s="201"/>
      <c r="H4" s="201"/>
      <c r="I4" s="201"/>
      <c r="J4" s="235"/>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40"/>
      <c r="AN4" s="1"/>
      <c r="AO4" s="1"/>
      <c r="AP4" s="1"/>
      <c r="AQ4" s="1"/>
      <c r="AR4" s="1"/>
      <c r="AS4" s="1"/>
      <c r="AT4" s="1"/>
    </row>
    <row r="5" spans="2:46" x14ac:dyDescent="0.2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row>
    <row r="6" spans="2:46" ht="15" customHeight="1" x14ac:dyDescent="0.25">
      <c r="B6" s="281" t="s">
        <v>94</v>
      </c>
      <c r="C6" s="277"/>
      <c r="D6" s="234"/>
      <c r="E6" s="286" t="s">
        <v>95</v>
      </c>
      <c r="F6" s="270"/>
      <c r="G6" s="270"/>
      <c r="H6" s="270"/>
      <c r="I6" s="252"/>
      <c r="J6" s="15" t="str">
        <f>IF(AND('Mapa final'!$Y$16="Muy Alta",'Mapa final'!$AA$16="Leve"),CONCATENATE("R1C",'Mapa final'!$O$16),"")</f>
        <v/>
      </c>
      <c r="K6" s="16" t="str">
        <f>IF(AND('Mapa final'!$Y$17="Muy Alta",'Mapa final'!$AA$17="Leve"),CONCATENATE("R1C",'Mapa final'!$O$17),"")</f>
        <v/>
      </c>
      <c r="L6" s="16" t="str">
        <f>IF(AND('Mapa final'!$Y$18="Muy Alta",'Mapa final'!$AA$18="Leve"),CONCATENATE("R1C",'Mapa final'!$O$18),"")</f>
        <v/>
      </c>
      <c r="M6" s="16" t="e">
        <f>IF(AND('Mapa final'!#REF!="Muy Alta",'Mapa final'!#REF!="Leve"),CONCATENATE("R1C",'Mapa final'!#REF!),"")</f>
        <v>#REF!</v>
      </c>
      <c r="N6" s="16" t="e">
        <f>IF(AND('Mapa final'!#REF!="Muy Alta",'Mapa final'!#REF!="Leve"),CONCATENATE("R1C",'Mapa final'!#REF!),"")</f>
        <v>#REF!</v>
      </c>
      <c r="O6" s="17" t="e">
        <f>IF(AND('Mapa final'!#REF!="Muy Alta",'Mapa final'!#REF!="Leve"),CONCATENATE("R1C",'Mapa final'!#REF!),"")</f>
        <v>#REF!</v>
      </c>
      <c r="P6" s="15" t="str">
        <f>IF(AND('Mapa final'!$Y$16="Muy Alta",'Mapa final'!$AA$16="Menor"),CONCATENATE("R1C",'Mapa final'!$O$16),"")</f>
        <v/>
      </c>
      <c r="Q6" s="16" t="str">
        <f>IF(AND('Mapa final'!$Y$17="Muy Alta",'Mapa final'!$AA$17="Menor"),CONCATENATE("R1C",'Mapa final'!$O$17),"")</f>
        <v/>
      </c>
      <c r="R6" s="16" t="str">
        <f>IF(AND('Mapa final'!$Y$18="Muy Alta",'Mapa final'!$AA$18="Menor"),CONCATENATE("R1C",'Mapa final'!$O$18),"")</f>
        <v/>
      </c>
      <c r="S6" s="16" t="e">
        <f>IF(AND('Mapa final'!#REF!="Muy Alta",'Mapa final'!#REF!="Menor"),CONCATENATE("R1C",'Mapa final'!#REF!),"")</f>
        <v>#REF!</v>
      </c>
      <c r="T6" s="16" t="e">
        <f>IF(AND('Mapa final'!#REF!="Muy Alta",'Mapa final'!#REF!="Menor"),CONCATENATE("R1C",'Mapa final'!#REF!),"")</f>
        <v>#REF!</v>
      </c>
      <c r="U6" s="17" t="e">
        <f>IF(AND('Mapa final'!#REF!="Muy Alta",'Mapa final'!#REF!="Menor"),CONCATENATE("R1C",'Mapa final'!#REF!),"")</f>
        <v>#REF!</v>
      </c>
      <c r="V6" s="15" t="str">
        <f>IF(AND('Mapa final'!$Y$16="Muy Alta",'Mapa final'!$AA$16="Moderado"),CONCATENATE("R1C",'Mapa final'!$O$16),"")</f>
        <v/>
      </c>
      <c r="W6" s="16" t="str">
        <f>IF(AND('Mapa final'!$Y$17="Muy Alta",'Mapa final'!$AA$17="Moderado"),CONCATENATE("R1C",'Mapa final'!$O$17),"")</f>
        <v/>
      </c>
      <c r="X6" s="16" t="str">
        <f>IF(AND('Mapa final'!$Y$18="Muy Alta",'Mapa final'!$AA$18="Moderado"),CONCATENATE("R1C",'Mapa final'!$O$18),"")</f>
        <v/>
      </c>
      <c r="Y6" s="16" t="e">
        <f>IF(AND('Mapa final'!#REF!="Muy Alta",'Mapa final'!#REF!="Moderado"),CONCATENATE("R1C",'Mapa final'!#REF!),"")</f>
        <v>#REF!</v>
      </c>
      <c r="Z6" s="16" t="e">
        <f>IF(AND('Mapa final'!#REF!="Muy Alta",'Mapa final'!#REF!="Moderado"),CONCATENATE("R1C",'Mapa final'!#REF!),"")</f>
        <v>#REF!</v>
      </c>
      <c r="AA6" s="17" t="e">
        <f>IF(AND('Mapa final'!#REF!="Muy Alta",'Mapa final'!#REF!="Moderado"),CONCATENATE("R1C",'Mapa final'!#REF!),"")</f>
        <v>#REF!</v>
      </c>
      <c r="AB6" s="15" t="str">
        <f>IF(AND('Mapa final'!$Y$16="Muy Alta",'Mapa final'!$AA$16="Mayor"),CONCATENATE("R1C",'Mapa final'!$O$16),"")</f>
        <v/>
      </c>
      <c r="AC6" s="16" t="str">
        <f>IF(AND('Mapa final'!$Y$17="Muy Alta",'Mapa final'!$AA$17="Mayor"),CONCATENATE("R1C",'Mapa final'!$O$17),"")</f>
        <v/>
      </c>
      <c r="AD6" s="16" t="str">
        <f>IF(AND('Mapa final'!$Y$18="Muy Alta",'Mapa final'!$AA$18="Mayor"),CONCATENATE("R1C",'Mapa final'!$O$18),"")</f>
        <v/>
      </c>
      <c r="AE6" s="16" t="e">
        <f>IF(AND('Mapa final'!#REF!="Muy Alta",'Mapa final'!#REF!="Mayor"),CONCATENATE("R1C",'Mapa final'!#REF!),"")</f>
        <v>#REF!</v>
      </c>
      <c r="AF6" s="16" t="e">
        <f>IF(AND('Mapa final'!#REF!="Muy Alta",'Mapa final'!#REF!="Mayor"),CONCATENATE("R1C",'Mapa final'!#REF!),"")</f>
        <v>#REF!</v>
      </c>
      <c r="AG6" s="17" t="e">
        <f>IF(AND('Mapa final'!#REF!="Muy Alta",'Mapa final'!#REF!="Mayor"),CONCATENATE("R1C",'Mapa final'!#REF!),"")</f>
        <v>#REF!</v>
      </c>
      <c r="AH6" s="18" t="str">
        <f>IF(AND('Mapa final'!$Y$16="Muy Alta",'Mapa final'!$AA$16="Catastrófico"),CONCATENATE("R1C",'Mapa final'!$O$16),"")</f>
        <v/>
      </c>
      <c r="AI6" s="19" t="str">
        <f>IF(AND('Mapa final'!$Y$17="Muy Alta",'Mapa final'!$AA$17="Catastrófico"),CONCATENATE("R1C",'Mapa final'!$O$17),"")</f>
        <v/>
      </c>
      <c r="AJ6" s="19" t="str">
        <f>IF(AND('Mapa final'!$Y$18="Muy Alta",'Mapa final'!$AA$18="Catastrófico"),CONCATENATE("R1C",'Mapa final'!$O$18),"")</f>
        <v/>
      </c>
      <c r="AK6" s="19" t="e">
        <f>IF(AND('Mapa final'!#REF!="Muy Alta",'Mapa final'!#REF!="Catastrófico"),CONCATENATE("R1C",'Mapa final'!#REF!),"")</f>
        <v>#REF!</v>
      </c>
      <c r="AL6" s="19" t="e">
        <f>IF(AND('Mapa final'!#REF!="Muy Alta",'Mapa final'!#REF!="Catastrófico"),CONCATENATE("R1C",'Mapa final'!#REF!),"")</f>
        <v>#REF!</v>
      </c>
      <c r="AM6" s="20" t="e">
        <f>IF(AND('Mapa final'!#REF!="Muy Alta",'Mapa final'!#REF!="Catastrófico"),CONCATENATE("R1C",'Mapa final'!#REF!),"")</f>
        <v>#REF!</v>
      </c>
      <c r="AN6" s="1"/>
      <c r="AO6" s="284" t="s">
        <v>96</v>
      </c>
      <c r="AP6" s="259"/>
      <c r="AQ6" s="259"/>
      <c r="AR6" s="259"/>
      <c r="AS6" s="259"/>
      <c r="AT6" s="260"/>
    </row>
    <row r="7" spans="2:46" ht="15" customHeight="1" x14ac:dyDescent="0.25">
      <c r="B7" s="278"/>
      <c r="C7" s="201"/>
      <c r="D7" s="202"/>
      <c r="E7" s="213"/>
      <c r="F7" s="201"/>
      <c r="G7" s="201"/>
      <c r="H7" s="201"/>
      <c r="I7" s="202"/>
      <c r="J7" s="21" t="str">
        <f>IF(AND('Mapa final'!$Y$21="Muy Alta",'Mapa final'!$AA$21="Leve"),CONCATENATE("R2C",'Mapa final'!$O$21),"")</f>
        <v/>
      </c>
      <c r="K7" s="22" t="e">
        <f>IF(AND('Mapa final'!#REF!="Muy Alta",'Mapa final'!#REF!="Leve"),CONCATENATE("R2C",'Mapa final'!#REF!),"")</f>
        <v>#REF!</v>
      </c>
      <c r="L7" s="22" t="e">
        <f>IF(AND('Mapa final'!#REF!="Muy Alta",'Mapa final'!#REF!="Leve"),CONCATENATE("R2C",'Mapa final'!#REF!),"")</f>
        <v>#REF!</v>
      </c>
      <c r="M7" s="22" t="e">
        <f>IF(AND('Mapa final'!#REF!="Muy Alta",'Mapa final'!#REF!="Leve"),CONCATENATE("R2C",'Mapa final'!#REF!),"")</f>
        <v>#REF!</v>
      </c>
      <c r="N7" s="22" t="str">
        <f>IF(AND('Mapa final'!$Y$22="Muy Alta",'Mapa final'!$AA$22="Leve"),CONCATENATE("R2C",'Mapa final'!$O$22),"")</f>
        <v/>
      </c>
      <c r="O7" s="23" t="str">
        <f>IF(AND('Mapa final'!$Y$23="Muy Alta",'Mapa final'!$AA$23="Leve"),CONCATENATE("R2C",'Mapa final'!$O$23),"")</f>
        <v/>
      </c>
      <c r="P7" s="21" t="str">
        <f>IF(AND('Mapa final'!$Y$21="Muy Alta",'Mapa final'!$AA$21="Menor"),CONCATENATE("R2C",'Mapa final'!$O$21),"")</f>
        <v/>
      </c>
      <c r="Q7" s="22" t="e">
        <f>IF(AND('Mapa final'!#REF!="Muy Alta",'Mapa final'!#REF!="Menor"),CONCATENATE("R2C",'Mapa final'!#REF!),"")</f>
        <v>#REF!</v>
      </c>
      <c r="R7" s="22" t="e">
        <f>IF(AND('Mapa final'!#REF!="Muy Alta",'Mapa final'!#REF!="Menor"),CONCATENATE("R2C",'Mapa final'!#REF!),"")</f>
        <v>#REF!</v>
      </c>
      <c r="S7" s="22" t="e">
        <f>IF(AND('Mapa final'!#REF!="Muy Alta",'Mapa final'!#REF!="Menor"),CONCATENATE("R2C",'Mapa final'!#REF!),"")</f>
        <v>#REF!</v>
      </c>
      <c r="T7" s="22" t="str">
        <f>IF(AND('Mapa final'!$Y$22="Muy Alta",'Mapa final'!$AA$22="Menor"),CONCATENATE("R2C",'Mapa final'!$O$22),"")</f>
        <v/>
      </c>
      <c r="U7" s="23" t="str">
        <f>IF(AND('Mapa final'!$Y$23="Muy Alta",'Mapa final'!$AA$23="Menor"),CONCATENATE("R2C",'Mapa final'!$O$23),"")</f>
        <v/>
      </c>
      <c r="V7" s="21" t="str">
        <f>IF(AND('Mapa final'!$Y$21="Muy Alta",'Mapa final'!$AA$21="Moderado"),CONCATENATE("R2C",'Mapa final'!$O$21),"")</f>
        <v/>
      </c>
      <c r="W7" s="22" t="e">
        <f>IF(AND('Mapa final'!#REF!="Muy Alta",'Mapa final'!#REF!="Moderado"),CONCATENATE("R2C",'Mapa final'!#REF!),"")</f>
        <v>#REF!</v>
      </c>
      <c r="X7" s="22" t="e">
        <f>IF(AND('Mapa final'!#REF!="Muy Alta",'Mapa final'!#REF!="Moderado"),CONCATENATE("R2C",'Mapa final'!#REF!),"")</f>
        <v>#REF!</v>
      </c>
      <c r="Y7" s="22" t="e">
        <f>IF(AND('Mapa final'!#REF!="Muy Alta",'Mapa final'!#REF!="Moderado"),CONCATENATE("R2C",'Mapa final'!#REF!),"")</f>
        <v>#REF!</v>
      </c>
      <c r="Z7" s="22" t="str">
        <f>IF(AND('Mapa final'!$Y$22="Muy Alta",'Mapa final'!$AA$22="Moderado"),CONCATENATE("R2C",'Mapa final'!$O$22),"")</f>
        <v/>
      </c>
      <c r="AA7" s="23" t="str">
        <f>IF(AND('Mapa final'!$Y$23="Muy Alta",'Mapa final'!$AA$23="Moderado"),CONCATENATE("R2C",'Mapa final'!$O$23),"")</f>
        <v/>
      </c>
      <c r="AB7" s="21" t="str">
        <f>IF(AND('Mapa final'!$Y$21="Muy Alta",'Mapa final'!$AA$21="Mayor"),CONCATENATE("R2C",'Mapa final'!$O$21),"")</f>
        <v/>
      </c>
      <c r="AC7" s="22" t="e">
        <f>IF(AND('Mapa final'!#REF!="Muy Alta",'Mapa final'!#REF!="Mayor"),CONCATENATE("R2C",'Mapa final'!#REF!),"")</f>
        <v>#REF!</v>
      </c>
      <c r="AD7" s="22" t="e">
        <f>IF(AND('Mapa final'!#REF!="Muy Alta",'Mapa final'!#REF!="Mayor"),CONCATENATE("R2C",'Mapa final'!#REF!),"")</f>
        <v>#REF!</v>
      </c>
      <c r="AE7" s="22" t="e">
        <f>IF(AND('Mapa final'!#REF!="Muy Alta",'Mapa final'!#REF!="Mayor"),CONCATENATE("R2C",'Mapa final'!#REF!),"")</f>
        <v>#REF!</v>
      </c>
      <c r="AF7" s="22" t="str">
        <f>IF(AND('Mapa final'!$Y$22="Muy Alta",'Mapa final'!$AA$22="Mayor"),CONCATENATE("R2C",'Mapa final'!$O$22),"")</f>
        <v/>
      </c>
      <c r="AG7" s="23" t="str">
        <f>IF(AND('Mapa final'!$Y$23="Muy Alta",'Mapa final'!$AA$23="Mayor"),CONCATENATE("R2C",'Mapa final'!$O$23),"")</f>
        <v/>
      </c>
      <c r="AH7" s="24" t="str">
        <f>IF(AND('Mapa final'!$Y$21="Muy Alta",'Mapa final'!$AA$21="Catastrófico"),CONCATENATE("R2C",'Mapa final'!$O$21),"")</f>
        <v/>
      </c>
      <c r="AI7" s="25" t="e">
        <f>IF(AND('Mapa final'!#REF!="Muy Alta",'Mapa final'!#REF!="Catastrófico"),CONCATENATE("R2C",'Mapa final'!#REF!),"")</f>
        <v>#REF!</v>
      </c>
      <c r="AJ7" s="25" t="e">
        <f>IF(AND('Mapa final'!#REF!="Muy Alta",'Mapa final'!#REF!="Catastrófico"),CONCATENATE("R2C",'Mapa final'!#REF!),"")</f>
        <v>#REF!</v>
      </c>
      <c r="AK7" s="25" t="e">
        <f>IF(AND('Mapa final'!#REF!="Muy Alta",'Mapa final'!#REF!="Catastrófico"),CONCATENATE("R2C",'Mapa final'!#REF!),"")</f>
        <v>#REF!</v>
      </c>
      <c r="AL7" s="25" t="str">
        <f>IF(AND('Mapa final'!$Y$22="Muy Alta",'Mapa final'!$AA$22="Catastrófico"),CONCATENATE("R2C",'Mapa final'!$O$22),"")</f>
        <v/>
      </c>
      <c r="AM7" s="26" t="str">
        <f>IF(AND('Mapa final'!$Y$23="Muy Alta",'Mapa final'!$AA$23="Catastrófico"),CONCATENATE("R2C",'Mapa final'!$O$23),"")</f>
        <v/>
      </c>
      <c r="AN7" s="1"/>
      <c r="AO7" s="261"/>
      <c r="AP7" s="201"/>
      <c r="AQ7" s="201"/>
      <c r="AR7" s="201"/>
      <c r="AS7" s="201"/>
      <c r="AT7" s="262"/>
    </row>
    <row r="8" spans="2:46" ht="15" customHeight="1" x14ac:dyDescent="0.25">
      <c r="B8" s="278"/>
      <c r="C8" s="201"/>
      <c r="D8" s="202"/>
      <c r="E8" s="213"/>
      <c r="F8" s="201"/>
      <c r="G8" s="201"/>
      <c r="H8" s="201"/>
      <c r="I8" s="202"/>
      <c r="J8" s="21" t="str">
        <f>IF(AND('Mapa final'!$Y$26="Muy Alta",'Mapa final'!$AA$26="Leve"),CONCATENATE("R3C",'Mapa final'!$O$26),"")</f>
        <v/>
      </c>
      <c r="K8" s="22" t="str">
        <f>IF(AND('Mapa final'!$Y$27="Muy Alta",'Mapa final'!$AA$27="Leve"),CONCATENATE("R3C",'Mapa final'!$O$27),"")</f>
        <v/>
      </c>
      <c r="L8" s="22" t="str">
        <f>IF(AND('Mapa final'!$Y$28="Muy Alta",'Mapa final'!$AA$28="Leve"),CONCATENATE("R3C",'Mapa final'!$O$28),"")</f>
        <v/>
      </c>
      <c r="M8" s="22" t="e">
        <f>IF(AND('Mapa final'!#REF!="Muy Alta",'Mapa final'!#REF!="Leve"),CONCATENATE("R3C",'Mapa final'!#REF!),"")</f>
        <v>#REF!</v>
      </c>
      <c r="N8" s="22" t="e">
        <f>IF(AND('Mapa final'!#REF!="Muy Alta",'Mapa final'!#REF!="Leve"),CONCATENATE("R3C",'Mapa final'!#REF!),"")</f>
        <v>#REF!</v>
      </c>
      <c r="O8" s="23" t="e">
        <f>IF(AND('Mapa final'!#REF!="Muy Alta",'Mapa final'!#REF!="Leve"),CONCATENATE("R3C",'Mapa final'!#REF!),"")</f>
        <v>#REF!</v>
      </c>
      <c r="P8" s="21" t="str">
        <f>IF(AND('Mapa final'!$Y$26="Muy Alta",'Mapa final'!$AA$26="Menor"),CONCATENATE("R3C",'Mapa final'!$O$26),"")</f>
        <v/>
      </c>
      <c r="Q8" s="22" t="str">
        <f>IF(AND('Mapa final'!$Y$27="Muy Alta",'Mapa final'!$AA$27="Menor"),CONCATENATE("R3C",'Mapa final'!$O$27),"")</f>
        <v/>
      </c>
      <c r="R8" s="22" t="str">
        <f>IF(AND('Mapa final'!$Y$28="Muy Alta",'Mapa final'!$AA$28="Menor"),CONCATENATE("R3C",'Mapa final'!$O$28),"")</f>
        <v/>
      </c>
      <c r="S8" s="22" t="e">
        <f>IF(AND('Mapa final'!#REF!="Muy Alta",'Mapa final'!#REF!="Menor"),CONCATENATE("R3C",'Mapa final'!#REF!),"")</f>
        <v>#REF!</v>
      </c>
      <c r="T8" s="22" t="e">
        <f>IF(AND('Mapa final'!#REF!="Muy Alta",'Mapa final'!#REF!="Menor"),CONCATENATE("R3C",'Mapa final'!#REF!),"")</f>
        <v>#REF!</v>
      </c>
      <c r="U8" s="23" t="e">
        <f>IF(AND('Mapa final'!#REF!="Muy Alta",'Mapa final'!#REF!="Menor"),CONCATENATE("R3C",'Mapa final'!#REF!),"")</f>
        <v>#REF!</v>
      </c>
      <c r="V8" s="21" t="str">
        <f>IF(AND('Mapa final'!$Y$26="Muy Alta",'Mapa final'!$AA$26="Moderado"),CONCATENATE("R3C",'Mapa final'!$O$26),"")</f>
        <v/>
      </c>
      <c r="W8" s="22" t="str">
        <f>IF(AND('Mapa final'!$Y$27="Muy Alta",'Mapa final'!$AA$27="Moderado"),CONCATENATE("R3C",'Mapa final'!$O$27),"")</f>
        <v/>
      </c>
      <c r="X8" s="22" t="str">
        <f>IF(AND('Mapa final'!$Y$28="Muy Alta",'Mapa final'!$AA$28="Moderado"),CONCATENATE("R3C",'Mapa final'!$O$28),"")</f>
        <v/>
      </c>
      <c r="Y8" s="22" t="e">
        <f>IF(AND('Mapa final'!#REF!="Muy Alta",'Mapa final'!#REF!="Moderado"),CONCATENATE("R3C",'Mapa final'!#REF!),"")</f>
        <v>#REF!</v>
      </c>
      <c r="Z8" s="22" t="e">
        <f>IF(AND('Mapa final'!#REF!="Muy Alta",'Mapa final'!#REF!="Moderado"),CONCATENATE("R3C",'Mapa final'!#REF!),"")</f>
        <v>#REF!</v>
      </c>
      <c r="AA8" s="23" t="e">
        <f>IF(AND('Mapa final'!#REF!="Muy Alta",'Mapa final'!#REF!="Moderado"),CONCATENATE("R3C",'Mapa final'!#REF!),"")</f>
        <v>#REF!</v>
      </c>
      <c r="AB8" s="21" t="str">
        <f>IF(AND('Mapa final'!$Y$26="Muy Alta",'Mapa final'!$AA$26="Mayor"),CONCATENATE("R3C",'Mapa final'!$O$26),"")</f>
        <v/>
      </c>
      <c r="AC8" s="22" t="str">
        <f>IF(AND('Mapa final'!$Y$27="Muy Alta",'Mapa final'!$AA$27="Mayor"),CONCATENATE("R3C",'Mapa final'!$O$27),"")</f>
        <v/>
      </c>
      <c r="AD8" s="22" t="str">
        <f>IF(AND('Mapa final'!$Y$28="Muy Alta",'Mapa final'!$AA$28="Mayor"),CONCATENATE("R3C",'Mapa final'!$O$28),"")</f>
        <v/>
      </c>
      <c r="AE8" s="22" t="e">
        <f>IF(AND('Mapa final'!#REF!="Muy Alta",'Mapa final'!#REF!="Mayor"),CONCATENATE("R3C",'Mapa final'!#REF!),"")</f>
        <v>#REF!</v>
      </c>
      <c r="AF8" s="22" t="e">
        <f>IF(AND('Mapa final'!#REF!="Muy Alta",'Mapa final'!#REF!="Mayor"),CONCATENATE("R3C",'Mapa final'!#REF!),"")</f>
        <v>#REF!</v>
      </c>
      <c r="AG8" s="23" t="e">
        <f>IF(AND('Mapa final'!#REF!="Muy Alta",'Mapa final'!#REF!="Mayor"),CONCATENATE("R3C",'Mapa final'!#REF!),"")</f>
        <v>#REF!</v>
      </c>
      <c r="AH8" s="24" t="str">
        <f>IF(AND('Mapa final'!$Y$26="Muy Alta",'Mapa final'!$AA$26="Catastrófico"),CONCATENATE("R3C",'Mapa final'!$O$26),"")</f>
        <v/>
      </c>
      <c r="AI8" s="25" t="str">
        <f>IF(AND('Mapa final'!$Y$27="Muy Alta",'Mapa final'!$AA$27="Catastrófico"),CONCATENATE("R3C",'Mapa final'!$O$27),"")</f>
        <v/>
      </c>
      <c r="AJ8" s="25" t="str">
        <f>IF(AND('Mapa final'!$Y$28="Muy Alta",'Mapa final'!$AA$28="Catastrófico"),CONCATENATE("R3C",'Mapa final'!$O$28),"")</f>
        <v/>
      </c>
      <c r="AK8" s="25" t="e">
        <f>IF(AND('Mapa final'!#REF!="Muy Alta",'Mapa final'!#REF!="Catastrófico"),CONCATENATE("R3C",'Mapa final'!#REF!),"")</f>
        <v>#REF!</v>
      </c>
      <c r="AL8" s="25" t="e">
        <f>IF(AND('Mapa final'!#REF!="Muy Alta",'Mapa final'!#REF!="Catastrófico"),CONCATENATE("R3C",'Mapa final'!#REF!),"")</f>
        <v>#REF!</v>
      </c>
      <c r="AM8" s="26" t="e">
        <f>IF(AND('Mapa final'!#REF!="Muy Alta",'Mapa final'!#REF!="Catastrófico"),CONCATENATE("R3C",'Mapa final'!#REF!),"")</f>
        <v>#REF!</v>
      </c>
      <c r="AN8" s="1"/>
      <c r="AO8" s="261"/>
      <c r="AP8" s="201"/>
      <c r="AQ8" s="201"/>
      <c r="AR8" s="201"/>
      <c r="AS8" s="201"/>
      <c r="AT8" s="262"/>
    </row>
    <row r="9" spans="2:46" ht="15" customHeight="1" x14ac:dyDescent="0.25">
      <c r="B9" s="278"/>
      <c r="C9" s="201"/>
      <c r="D9" s="202"/>
      <c r="E9" s="213"/>
      <c r="F9" s="201"/>
      <c r="G9" s="201"/>
      <c r="H9" s="201"/>
      <c r="I9" s="202"/>
      <c r="J9" s="21" t="str">
        <f>IF(AND('Mapa final'!$Y$31="Muy Alta",'Mapa final'!$AA$31="Leve"),CONCATENATE("R4C",'Mapa final'!$O$31),"")</f>
        <v/>
      </c>
      <c r="K9" s="22" t="str">
        <f>IF(AND('Mapa final'!$Y$32="Muy Alta",'Mapa final'!$AA$32="Leve"),CONCATENATE("R4C",'Mapa final'!$O$32),"")</f>
        <v/>
      </c>
      <c r="L9" s="22" t="e">
        <f>IF(AND('Mapa final'!#REF!="Muy Alta",'Mapa final'!#REF!="Leve"),CONCATENATE("R4C",'Mapa final'!#REF!),"")</f>
        <v>#REF!</v>
      </c>
      <c r="M9" s="22" t="str">
        <f>IF(AND('Mapa final'!$Y$33="Muy Alta",'Mapa final'!$AA$33="Leve"),CONCATENATE("R4C",'Mapa final'!$O$33),"")</f>
        <v/>
      </c>
      <c r="N9" s="22" t="e">
        <f>IF(AND('Mapa final'!#REF!="Muy Alta",'Mapa final'!#REF!="Leve"),CONCATENATE("R4C",'Mapa final'!#REF!),"")</f>
        <v>#REF!</v>
      </c>
      <c r="O9" s="23" t="e">
        <f>IF(AND('Mapa final'!#REF!="Muy Alta",'Mapa final'!#REF!="Leve"),CONCATENATE("R4C",'Mapa final'!#REF!),"")</f>
        <v>#REF!</v>
      </c>
      <c r="P9" s="21" t="str">
        <f>IF(AND('Mapa final'!$Y$31="Muy Alta",'Mapa final'!$AA$31="Menor"),CONCATENATE("R4C",'Mapa final'!$O$31),"")</f>
        <v/>
      </c>
      <c r="Q9" s="22" t="str">
        <f>IF(AND('Mapa final'!$Y$32="Muy Alta",'Mapa final'!$AA$32="Menor"),CONCATENATE("R4C",'Mapa final'!$O$32),"")</f>
        <v/>
      </c>
      <c r="R9" s="22" t="e">
        <f>IF(AND('Mapa final'!#REF!="Muy Alta",'Mapa final'!#REF!="Menor"),CONCATENATE("R4C",'Mapa final'!#REF!),"")</f>
        <v>#REF!</v>
      </c>
      <c r="S9" s="22" t="str">
        <f>IF(AND('Mapa final'!$Y$33="Muy Alta",'Mapa final'!$AA$33="Menor"),CONCATENATE("R4C",'Mapa final'!$O$33),"")</f>
        <v/>
      </c>
      <c r="T9" s="22" t="e">
        <f>IF(AND('Mapa final'!#REF!="Muy Alta",'Mapa final'!#REF!="Menor"),CONCATENATE("R4C",'Mapa final'!#REF!),"")</f>
        <v>#REF!</v>
      </c>
      <c r="U9" s="23" t="e">
        <f>IF(AND('Mapa final'!#REF!="Muy Alta",'Mapa final'!#REF!="Menor"),CONCATENATE("R4C",'Mapa final'!#REF!),"")</f>
        <v>#REF!</v>
      </c>
      <c r="V9" s="21" t="str">
        <f>IF(AND('Mapa final'!$Y$31="Muy Alta",'Mapa final'!$AA$31="Moderado"),CONCATENATE("R4C",'Mapa final'!$O$31),"")</f>
        <v/>
      </c>
      <c r="W9" s="22" t="str">
        <f>IF(AND('Mapa final'!$Y$32="Muy Alta",'Mapa final'!$AA$32="Moderado"),CONCATENATE("R4C",'Mapa final'!$O$32),"")</f>
        <v/>
      </c>
      <c r="X9" s="22" t="e">
        <f>IF(AND('Mapa final'!#REF!="Muy Alta",'Mapa final'!#REF!="Moderado"),CONCATENATE("R4C",'Mapa final'!#REF!),"")</f>
        <v>#REF!</v>
      </c>
      <c r="Y9" s="22" t="str">
        <f>IF(AND('Mapa final'!$Y$33="Muy Alta",'Mapa final'!$AA$33="Moderado"),CONCATENATE("R4C",'Mapa final'!$O$33),"")</f>
        <v/>
      </c>
      <c r="Z9" s="22" t="e">
        <f>IF(AND('Mapa final'!#REF!="Muy Alta",'Mapa final'!#REF!="Moderado"),CONCATENATE("R4C",'Mapa final'!#REF!),"")</f>
        <v>#REF!</v>
      </c>
      <c r="AA9" s="23" t="e">
        <f>IF(AND('Mapa final'!#REF!="Muy Alta",'Mapa final'!#REF!="Moderado"),CONCATENATE("R4C",'Mapa final'!#REF!),"")</f>
        <v>#REF!</v>
      </c>
      <c r="AB9" s="21" t="str">
        <f>IF(AND('Mapa final'!$Y$31="Muy Alta",'Mapa final'!$AA$31="Mayor"),CONCATENATE("R4C",'Mapa final'!$O$31),"")</f>
        <v/>
      </c>
      <c r="AC9" s="22" t="str">
        <f>IF(AND('Mapa final'!$Y$32="Muy Alta",'Mapa final'!$AA$32="Mayor"),CONCATENATE("R4C",'Mapa final'!$O$32),"")</f>
        <v/>
      </c>
      <c r="AD9" s="22" t="e">
        <f>IF(AND('Mapa final'!#REF!="Muy Alta",'Mapa final'!#REF!="Mayor"),CONCATENATE("R4C",'Mapa final'!#REF!),"")</f>
        <v>#REF!</v>
      </c>
      <c r="AE9" s="22" t="str">
        <f>IF(AND('Mapa final'!$Y$33="Muy Alta",'Mapa final'!$AA$33="Mayor"),CONCATENATE("R4C",'Mapa final'!$O$33),"")</f>
        <v/>
      </c>
      <c r="AF9" s="22" t="e">
        <f>IF(AND('Mapa final'!#REF!="Muy Alta",'Mapa final'!#REF!="Mayor"),CONCATENATE("R4C",'Mapa final'!#REF!),"")</f>
        <v>#REF!</v>
      </c>
      <c r="AG9" s="23" t="e">
        <f>IF(AND('Mapa final'!#REF!="Muy Alta",'Mapa final'!#REF!="Mayor"),CONCATENATE("R4C",'Mapa final'!#REF!),"")</f>
        <v>#REF!</v>
      </c>
      <c r="AH9" s="24" t="str">
        <f>IF(AND('Mapa final'!$Y$31="Muy Alta",'Mapa final'!$AA$31="Catastrófico"),CONCATENATE("R4C",'Mapa final'!$O$31),"")</f>
        <v/>
      </c>
      <c r="AI9" s="25" t="str">
        <f>IF(AND('Mapa final'!$Y$32="Muy Alta",'Mapa final'!$AA$32="Catastrófico"),CONCATENATE("R4C",'Mapa final'!$O$32),"")</f>
        <v/>
      </c>
      <c r="AJ9" s="25" t="e">
        <f>IF(AND('Mapa final'!#REF!="Muy Alta",'Mapa final'!#REF!="Catastrófico"),CONCATENATE("R4C",'Mapa final'!#REF!),"")</f>
        <v>#REF!</v>
      </c>
      <c r="AK9" s="25" t="str">
        <f>IF(AND('Mapa final'!$Y$33="Muy Alta",'Mapa final'!$AA$33="Catastrófico"),CONCATENATE("R4C",'Mapa final'!$O$33),"")</f>
        <v/>
      </c>
      <c r="AL9" s="25" t="e">
        <f>IF(AND('Mapa final'!#REF!="Muy Alta",'Mapa final'!#REF!="Catastrófico"),CONCATENATE("R4C",'Mapa final'!#REF!),"")</f>
        <v>#REF!</v>
      </c>
      <c r="AM9" s="26" t="e">
        <f>IF(AND('Mapa final'!#REF!="Muy Alta",'Mapa final'!#REF!="Catastrófico"),CONCATENATE("R4C",'Mapa final'!#REF!),"")</f>
        <v>#REF!</v>
      </c>
      <c r="AN9" s="1"/>
      <c r="AO9" s="261"/>
      <c r="AP9" s="201"/>
      <c r="AQ9" s="201"/>
      <c r="AR9" s="201"/>
      <c r="AS9" s="201"/>
      <c r="AT9" s="262"/>
    </row>
    <row r="10" spans="2:46" ht="15" customHeight="1" x14ac:dyDescent="0.25">
      <c r="B10" s="278"/>
      <c r="C10" s="201"/>
      <c r="D10" s="202"/>
      <c r="E10" s="213"/>
      <c r="F10" s="201"/>
      <c r="G10" s="201"/>
      <c r="H10" s="201"/>
      <c r="I10" s="202"/>
      <c r="J10" s="21" t="str">
        <f>IF(AND('Mapa final'!$Y$36="Muy Alta",'Mapa final'!$AA$36="Leve"),CONCATENATE("R5C",'Mapa final'!$O$36),"")</f>
        <v/>
      </c>
      <c r="K10" s="22" t="str">
        <f>IF(AND('Mapa final'!$Y$37="Muy Alta",'Mapa final'!$AA$37="Leve"),CONCATENATE("R5C",'Mapa final'!$O$37),"")</f>
        <v/>
      </c>
      <c r="L10" s="22" t="str">
        <f>IF(AND('Mapa final'!$Y$38="Muy Alta",'Mapa final'!$AA$38="Leve"),CONCATENATE("R5C",'Mapa final'!$O$38),"")</f>
        <v/>
      </c>
      <c r="M10" s="22" t="e">
        <f>IF(AND('Mapa final'!#REF!="Muy Alta",'Mapa final'!#REF!="Leve"),CONCATENATE("R5C",'Mapa final'!#REF!),"")</f>
        <v>#REF!</v>
      </c>
      <c r="N10" s="22" t="e">
        <f>IF(AND('Mapa final'!#REF!="Muy Alta",'Mapa final'!#REF!="Leve"),CONCATENATE("R5C",'Mapa final'!#REF!),"")</f>
        <v>#REF!</v>
      </c>
      <c r="O10" s="23" t="e">
        <f>IF(AND('Mapa final'!#REF!="Muy Alta",'Mapa final'!#REF!="Leve"),CONCATENATE("R5C",'Mapa final'!#REF!),"")</f>
        <v>#REF!</v>
      </c>
      <c r="P10" s="21" t="str">
        <f>IF(AND('Mapa final'!$Y$36="Muy Alta",'Mapa final'!$AA$36="Menor"),CONCATENATE("R5C",'Mapa final'!$O$36),"")</f>
        <v/>
      </c>
      <c r="Q10" s="22" t="str">
        <f>IF(AND('Mapa final'!$Y$37="Muy Alta",'Mapa final'!$AA$37="Menor"),CONCATENATE("R5C",'Mapa final'!$O$37),"")</f>
        <v/>
      </c>
      <c r="R10" s="22" t="str">
        <f>IF(AND('Mapa final'!$Y$38="Muy Alta",'Mapa final'!$AA$38="Menor"),CONCATENATE("R5C",'Mapa final'!$O$38),"")</f>
        <v/>
      </c>
      <c r="S10" s="22" t="e">
        <f>IF(AND('Mapa final'!#REF!="Muy Alta",'Mapa final'!#REF!="Menor"),CONCATENATE("R5C",'Mapa final'!#REF!),"")</f>
        <v>#REF!</v>
      </c>
      <c r="T10" s="22" t="e">
        <f>IF(AND('Mapa final'!#REF!="Muy Alta",'Mapa final'!#REF!="Menor"),CONCATENATE("R5C",'Mapa final'!#REF!),"")</f>
        <v>#REF!</v>
      </c>
      <c r="U10" s="23" t="e">
        <f>IF(AND('Mapa final'!#REF!="Muy Alta",'Mapa final'!#REF!="Menor"),CONCATENATE("R5C",'Mapa final'!#REF!),"")</f>
        <v>#REF!</v>
      </c>
      <c r="V10" s="21" t="str">
        <f>IF(AND('Mapa final'!$Y$36="Muy Alta",'Mapa final'!$AA$36="Moderado"),CONCATENATE("R5C",'Mapa final'!$O$36),"")</f>
        <v/>
      </c>
      <c r="W10" s="22" t="str">
        <f>IF(AND('Mapa final'!$Y$37="Muy Alta",'Mapa final'!$AA$37="Moderado"),CONCATENATE("R5C",'Mapa final'!$O$37),"")</f>
        <v/>
      </c>
      <c r="X10" s="22" t="str">
        <f>IF(AND('Mapa final'!$Y$38="Muy Alta",'Mapa final'!$AA$38="Moderado"),CONCATENATE("R5C",'Mapa final'!$O$38),"")</f>
        <v/>
      </c>
      <c r="Y10" s="22" t="e">
        <f>IF(AND('Mapa final'!#REF!="Muy Alta",'Mapa final'!#REF!="Moderado"),CONCATENATE("R5C",'Mapa final'!#REF!),"")</f>
        <v>#REF!</v>
      </c>
      <c r="Z10" s="22" t="e">
        <f>IF(AND('Mapa final'!#REF!="Muy Alta",'Mapa final'!#REF!="Moderado"),CONCATENATE("R5C",'Mapa final'!#REF!),"")</f>
        <v>#REF!</v>
      </c>
      <c r="AA10" s="23" t="e">
        <f>IF(AND('Mapa final'!#REF!="Muy Alta",'Mapa final'!#REF!="Moderado"),CONCATENATE("R5C",'Mapa final'!#REF!),"")</f>
        <v>#REF!</v>
      </c>
      <c r="AB10" s="21" t="str">
        <f>IF(AND('Mapa final'!$Y$36="Muy Alta",'Mapa final'!$AA$36="Mayor"),CONCATENATE("R5C",'Mapa final'!$O$36),"")</f>
        <v/>
      </c>
      <c r="AC10" s="22" t="str">
        <f>IF(AND('Mapa final'!$Y$37="Muy Alta",'Mapa final'!$AA$37="Mayor"),CONCATENATE("R5C",'Mapa final'!$O$37),"")</f>
        <v/>
      </c>
      <c r="AD10" s="22" t="str">
        <f>IF(AND('Mapa final'!$Y$38="Muy Alta",'Mapa final'!$AA$38="Mayor"),CONCATENATE("R5C",'Mapa final'!$O$38),"")</f>
        <v/>
      </c>
      <c r="AE10" s="22" t="e">
        <f>IF(AND('Mapa final'!#REF!="Muy Alta",'Mapa final'!#REF!="Mayor"),CONCATENATE("R5C",'Mapa final'!#REF!),"")</f>
        <v>#REF!</v>
      </c>
      <c r="AF10" s="22" t="e">
        <f>IF(AND('Mapa final'!#REF!="Muy Alta",'Mapa final'!#REF!="Mayor"),CONCATENATE("R5C",'Mapa final'!#REF!),"")</f>
        <v>#REF!</v>
      </c>
      <c r="AG10" s="23" t="e">
        <f>IF(AND('Mapa final'!#REF!="Muy Alta",'Mapa final'!#REF!="Mayor"),CONCATENATE("R5C",'Mapa final'!#REF!),"")</f>
        <v>#REF!</v>
      </c>
      <c r="AH10" s="24" t="str">
        <f>IF(AND('Mapa final'!$Y$36="Muy Alta",'Mapa final'!$AA$36="Catastrófico"),CONCATENATE("R5C",'Mapa final'!$O$36),"")</f>
        <v/>
      </c>
      <c r="AI10" s="25" t="str">
        <f>IF(AND('Mapa final'!$Y$37="Muy Alta",'Mapa final'!$AA$37="Catastrófico"),CONCATENATE("R5C",'Mapa final'!$O$37),"")</f>
        <v/>
      </c>
      <c r="AJ10" s="25" t="str">
        <f>IF(AND('Mapa final'!$Y$38="Muy Alta",'Mapa final'!$AA$38="Catastrófico"),CONCATENATE("R5C",'Mapa final'!$O$38),"")</f>
        <v/>
      </c>
      <c r="AK10" s="25" t="e">
        <f>IF(AND('Mapa final'!#REF!="Muy Alta",'Mapa final'!#REF!="Catastrófico"),CONCATENATE("R5C",'Mapa final'!#REF!),"")</f>
        <v>#REF!</v>
      </c>
      <c r="AL10" s="25" t="e">
        <f>IF(AND('Mapa final'!#REF!="Muy Alta",'Mapa final'!#REF!="Catastrófico"),CONCATENATE("R5C",'Mapa final'!#REF!),"")</f>
        <v>#REF!</v>
      </c>
      <c r="AM10" s="26" t="e">
        <f>IF(AND('Mapa final'!#REF!="Muy Alta",'Mapa final'!#REF!="Catastrófico"),CONCATENATE("R5C",'Mapa final'!#REF!),"")</f>
        <v>#REF!</v>
      </c>
      <c r="AN10" s="1"/>
      <c r="AO10" s="261"/>
      <c r="AP10" s="201"/>
      <c r="AQ10" s="201"/>
      <c r="AR10" s="201"/>
      <c r="AS10" s="201"/>
      <c r="AT10" s="262"/>
    </row>
    <row r="11" spans="2:46" ht="15" customHeight="1" x14ac:dyDescent="0.25">
      <c r="B11" s="278"/>
      <c r="C11" s="201"/>
      <c r="D11" s="202"/>
      <c r="E11" s="213"/>
      <c r="F11" s="201"/>
      <c r="G11" s="201"/>
      <c r="H11" s="201"/>
      <c r="I11" s="202"/>
      <c r="J11" s="21" t="str">
        <f>IF(AND('Mapa final'!$Y$41="Muy Alta",'Mapa final'!$AA$41="Leve"),CONCATENATE("R6C",'Mapa final'!$O$41),"")</f>
        <v/>
      </c>
      <c r="K11" s="22" t="str">
        <f>IF(AND('Mapa final'!$Y$42="Muy Alta",'Mapa final'!$AA$42="Leve"),CONCATENATE("R6C",'Mapa final'!$O$42),"")</f>
        <v/>
      </c>
      <c r="L11" s="22" t="str">
        <f>IF(AND('Mapa final'!$Y$43="Muy Alta",'Mapa final'!$AA$43="Leve"),CONCATENATE("R6C",'Mapa final'!$O$43),"")</f>
        <v/>
      </c>
      <c r="M11" s="22" t="e">
        <f>IF(AND('Mapa final'!#REF!="Muy Alta",'Mapa final'!#REF!="Leve"),CONCATENATE("R6C",'Mapa final'!#REF!),"")</f>
        <v>#REF!</v>
      </c>
      <c r="N11" s="22" t="e">
        <f>IF(AND('Mapa final'!#REF!="Muy Alta",'Mapa final'!#REF!="Leve"),CONCATENATE("R6C",'Mapa final'!#REF!),"")</f>
        <v>#REF!</v>
      </c>
      <c r="O11" s="23" t="e">
        <f>IF(AND('Mapa final'!#REF!="Muy Alta",'Mapa final'!#REF!="Leve"),CONCATENATE("R6C",'Mapa final'!#REF!),"")</f>
        <v>#REF!</v>
      </c>
      <c r="P11" s="21" t="str">
        <f>IF(AND('Mapa final'!$Y$41="Muy Alta",'Mapa final'!$AA$41="Menor"),CONCATENATE("R6C",'Mapa final'!$O$41),"")</f>
        <v/>
      </c>
      <c r="Q11" s="22" t="str">
        <f>IF(AND('Mapa final'!$Y$42="Muy Alta",'Mapa final'!$AA$42="Menor"),CONCATENATE("R6C",'Mapa final'!$O$42),"")</f>
        <v/>
      </c>
      <c r="R11" s="22" t="str">
        <f>IF(AND('Mapa final'!$Y$43="Muy Alta",'Mapa final'!$AA$43="Menor"),CONCATENATE("R6C",'Mapa final'!$O$43),"")</f>
        <v/>
      </c>
      <c r="S11" s="22" t="e">
        <f>IF(AND('Mapa final'!#REF!="Muy Alta",'Mapa final'!#REF!="Menor"),CONCATENATE("R6C",'Mapa final'!#REF!),"")</f>
        <v>#REF!</v>
      </c>
      <c r="T11" s="22" t="e">
        <f>IF(AND('Mapa final'!#REF!="Muy Alta",'Mapa final'!#REF!="Menor"),CONCATENATE("R6C",'Mapa final'!#REF!),"")</f>
        <v>#REF!</v>
      </c>
      <c r="U11" s="23" t="e">
        <f>IF(AND('Mapa final'!#REF!="Muy Alta",'Mapa final'!#REF!="Menor"),CONCATENATE("R6C",'Mapa final'!#REF!),"")</f>
        <v>#REF!</v>
      </c>
      <c r="V11" s="21" t="str">
        <f>IF(AND('Mapa final'!$Y$41="Muy Alta",'Mapa final'!$AA$41="Moderado"),CONCATENATE("R6C",'Mapa final'!$O$41),"")</f>
        <v/>
      </c>
      <c r="W11" s="22" t="str">
        <f>IF(AND('Mapa final'!$Y$42="Muy Alta",'Mapa final'!$AA$42="Moderado"),CONCATENATE("R6C",'Mapa final'!$O$42),"")</f>
        <v/>
      </c>
      <c r="X11" s="22" t="str">
        <f>IF(AND('Mapa final'!$Y$43="Muy Alta",'Mapa final'!$AA$43="Moderado"),CONCATENATE("R6C",'Mapa final'!$O$43),"")</f>
        <v/>
      </c>
      <c r="Y11" s="22" t="e">
        <f>IF(AND('Mapa final'!#REF!="Muy Alta",'Mapa final'!#REF!="Moderado"),CONCATENATE("R6C",'Mapa final'!#REF!),"")</f>
        <v>#REF!</v>
      </c>
      <c r="Z11" s="22" t="e">
        <f>IF(AND('Mapa final'!#REF!="Muy Alta",'Mapa final'!#REF!="Moderado"),CONCATENATE("R6C",'Mapa final'!#REF!),"")</f>
        <v>#REF!</v>
      </c>
      <c r="AA11" s="23" t="e">
        <f>IF(AND('Mapa final'!#REF!="Muy Alta",'Mapa final'!#REF!="Moderado"),CONCATENATE("R6C",'Mapa final'!#REF!),"")</f>
        <v>#REF!</v>
      </c>
      <c r="AB11" s="21" t="str">
        <f>IF(AND('Mapa final'!$Y$41="Muy Alta",'Mapa final'!$AA$41="Mayor"),CONCATENATE("R6C",'Mapa final'!$O$41),"")</f>
        <v/>
      </c>
      <c r="AC11" s="22" t="str">
        <f>IF(AND('Mapa final'!$Y$42="Muy Alta",'Mapa final'!$AA$42="Mayor"),CONCATENATE("R6C",'Mapa final'!$O$42),"")</f>
        <v/>
      </c>
      <c r="AD11" s="22" t="str">
        <f>IF(AND('Mapa final'!$Y$43="Muy Alta",'Mapa final'!$AA$43="Mayor"),CONCATENATE("R6C",'Mapa final'!$O$43),"")</f>
        <v/>
      </c>
      <c r="AE11" s="22" t="e">
        <f>IF(AND('Mapa final'!#REF!="Muy Alta",'Mapa final'!#REF!="Mayor"),CONCATENATE("R6C",'Mapa final'!#REF!),"")</f>
        <v>#REF!</v>
      </c>
      <c r="AF11" s="22" t="e">
        <f>IF(AND('Mapa final'!#REF!="Muy Alta",'Mapa final'!#REF!="Mayor"),CONCATENATE("R6C",'Mapa final'!#REF!),"")</f>
        <v>#REF!</v>
      </c>
      <c r="AG11" s="23" t="e">
        <f>IF(AND('Mapa final'!#REF!="Muy Alta",'Mapa final'!#REF!="Mayor"),CONCATENATE("R6C",'Mapa final'!#REF!),"")</f>
        <v>#REF!</v>
      </c>
      <c r="AH11" s="24" t="str">
        <f>IF(AND('Mapa final'!$Y$41="Muy Alta",'Mapa final'!$AA$41="Catastrófico"),CONCATENATE("R6C",'Mapa final'!$O$41),"")</f>
        <v/>
      </c>
      <c r="AI11" s="25" t="str">
        <f>IF(AND('Mapa final'!$Y$42="Muy Alta",'Mapa final'!$AA$42="Catastrófico"),CONCATENATE("R6C",'Mapa final'!$O$42),"")</f>
        <v/>
      </c>
      <c r="AJ11" s="25" t="str">
        <f>IF(AND('Mapa final'!$Y$43="Muy Alta",'Mapa final'!$AA$43="Catastrófico"),CONCATENATE("R6C",'Mapa final'!$O$43),"")</f>
        <v/>
      </c>
      <c r="AK11" s="25" t="e">
        <f>IF(AND('Mapa final'!#REF!="Muy Alta",'Mapa final'!#REF!="Catastrófico"),CONCATENATE("R6C",'Mapa final'!#REF!),"")</f>
        <v>#REF!</v>
      </c>
      <c r="AL11" s="25" t="e">
        <f>IF(AND('Mapa final'!#REF!="Muy Alta",'Mapa final'!#REF!="Catastrófico"),CONCATENATE("R6C",'Mapa final'!#REF!),"")</f>
        <v>#REF!</v>
      </c>
      <c r="AM11" s="26" t="e">
        <f>IF(AND('Mapa final'!#REF!="Muy Alta",'Mapa final'!#REF!="Catastrófico"),CONCATENATE("R6C",'Mapa final'!#REF!),"")</f>
        <v>#REF!</v>
      </c>
      <c r="AN11" s="1"/>
      <c r="AO11" s="261"/>
      <c r="AP11" s="201"/>
      <c r="AQ11" s="201"/>
      <c r="AR11" s="201"/>
      <c r="AS11" s="201"/>
      <c r="AT11" s="262"/>
    </row>
    <row r="12" spans="2:46" ht="15" customHeight="1" x14ac:dyDescent="0.25">
      <c r="B12" s="278"/>
      <c r="C12" s="201"/>
      <c r="D12" s="202"/>
      <c r="E12" s="213"/>
      <c r="F12" s="201"/>
      <c r="G12" s="201"/>
      <c r="H12" s="201"/>
      <c r="I12" s="202"/>
      <c r="J12" s="21" t="e">
        <f>IF(AND('Mapa final'!#REF!="Muy Alta",'Mapa final'!#REF!="Leve"),CONCATENATE("R7C",'Mapa final'!#REF!),"")</f>
        <v>#REF!</v>
      </c>
      <c r="K12" s="22" t="e">
        <f>IF(AND('Mapa final'!#REF!="Muy Alta",'Mapa final'!#REF!="Leve"),CONCATENATE("R7C",'Mapa final'!#REF!),"")</f>
        <v>#REF!</v>
      </c>
      <c r="L12" s="22" t="e">
        <f>IF(AND('Mapa final'!#REF!="Muy Alta",'Mapa final'!#REF!="Leve"),CONCATENATE("R7C",'Mapa final'!#REF!),"")</f>
        <v>#REF!</v>
      </c>
      <c r="M12" s="22" t="e">
        <f>IF(AND('Mapa final'!#REF!="Muy Alta",'Mapa final'!#REF!="Leve"),CONCATENATE("R7C",'Mapa final'!#REF!),"")</f>
        <v>#REF!</v>
      </c>
      <c r="N12" s="22" t="e">
        <f>IF(AND('Mapa final'!#REF!="Muy Alta",'Mapa final'!#REF!="Leve"),CONCATENATE("R7C",'Mapa final'!#REF!),"")</f>
        <v>#REF!</v>
      </c>
      <c r="O12" s="23" t="e">
        <f>IF(AND('Mapa final'!#REF!="Muy Alta",'Mapa final'!#REF!="Leve"),CONCATENATE("R7C",'Mapa final'!#REF!),"")</f>
        <v>#REF!</v>
      </c>
      <c r="P12" s="21" t="e">
        <f>IF(AND('Mapa final'!#REF!="Muy Alta",'Mapa final'!#REF!="Menor"),CONCATENATE("R7C",'Mapa final'!#REF!),"")</f>
        <v>#REF!</v>
      </c>
      <c r="Q12" s="22" t="e">
        <f>IF(AND('Mapa final'!#REF!="Muy Alta",'Mapa final'!#REF!="Menor"),CONCATENATE("R7C",'Mapa final'!#REF!),"")</f>
        <v>#REF!</v>
      </c>
      <c r="R12" s="22" t="e">
        <f>IF(AND('Mapa final'!#REF!="Muy Alta",'Mapa final'!#REF!="Menor"),CONCATENATE("R7C",'Mapa final'!#REF!),"")</f>
        <v>#REF!</v>
      </c>
      <c r="S12" s="22" t="e">
        <f>IF(AND('Mapa final'!#REF!="Muy Alta",'Mapa final'!#REF!="Menor"),CONCATENATE("R7C",'Mapa final'!#REF!),"")</f>
        <v>#REF!</v>
      </c>
      <c r="T12" s="22" t="e">
        <f>IF(AND('Mapa final'!#REF!="Muy Alta",'Mapa final'!#REF!="Menor"),CONCATENATE("R7C",'Mapa final'!#REF!),"")</f>
        <v>#REF!</v>
      </c>
      <c r="U12" s="23" t="e">
        <f>IF(AND('Mapa final'!#REF!="Muy Alta",'Mapa final'!#REF!="Menor"),CONCATENATE("R7C",'Mapa final'!#REF!),"")</f>
        <v>#REF!</v>
      </c>
      <c r="V12" s="21" t="e">
        <f>IF(AND('Mapa final'!#REF!="Muy Alta",'Mapa final'!#REF!="Moderado"),CONCATENATE("R7C",'Mapa final'!#REF!),"")</f>
        <v>#REF!</v>
      </c>
      <c r="W12" s="22" t="e">
        <f>IF(AND('Mapa final'!#REF!="Muy Alta",'Mapa final'!#REF!="Moderado"),CONCATENATE("R7C",'Mapa final'!#REF!),"")</f>
        <v>#REF!</v>
      </c>
      <c r="X12" s="22" t="e">
        <f>IF(AND('Mapa final'!#REF!="Muy Alta",'Mapa final'!#REF!="Moderado"),CONCATENATE("R7C",'Mapa final'!#REF!),"")</f>
        <v>#REF!</v>
      </c>
      <c r="Y12" s="22" t="e">
        <f>IF(AND('Mapa final'!#REF!="Muy Alta",'Mapa final'!#REF!="Moderado"),CONCATENATE("R7C",'Mapa final'!#REF!),"")</f>
        <v>#REF!</v>
      </c>
      <c r="Z12" s="22" t="e">
        <f>IF(AND('Mapa final'!#REF!="Muy Alta",'Mapa final'!#REF!="Moderado"),CONCATENATE("R7C",'Mapa final'!#REF!),"")</f>
        <v>#REF!</v>
      </c>
      <c r="AA12" s="23" t="e">
        <f>IF(AND('Mapa final'!#REF!="Muy Alta",'Mapa final'!#REF!="Moderado"),CONCATENATE("R7C",'Mapa final'!#REF!),"")</f>
        <v>#REF!</v>
      </c>
      <c r="AB12" s="21" t="e">
        <f>IF(AND('Mapa final'!#REF!="Muy Alta",'Mapa final'!#REF!="Mayor"),CONCATENATE("R7C",'Mapa final'!#REF!),"")</f>
        <v>#REF!</v>
      </c>
      <c r="AC12" s="22" t="e">
        <f>IF(AND('Mapa final'!#REF!="Muy Alta",'Mapa final'!#REF!="Mayor"),CONCATENATE("R7C",'Mapa final'!#REF!),"")</f>
        <v>#REF!</v>
      </c>
      <c r="AD12" s="22" t="e">
        <f>IF(AND('Mapa final'!#REF!="Muy Alta",'Mapa final'!#REF!="Mayor"),CONCATENATE("R7C",'Mapa final'!#REF!),"")</f>
        <v>#REF!</v>
      </c>
      <c r="AE12" s="22" t="e">
        <f>IF(AND('Mapa final'!#REF!="Muy Alta",'Mapa final'!#REF!="Mayor"),CONCATENATE("R7C",'Mapa final'!#REF!),"")</f>
        <v>#REF!</v>
      </c>
      <c r="AF12" s="22" t="e">
        <f>IF(AND('Mapa final'!#REF!="Muy Alta",'Mapa final'!#REF!="Mayor"),CONCATENATE("R7C",'Mapa final'!#REF!),"")</f>
        <v>#REF!</v>
      </c>
      <c r="AG12" s="23" t="e">
        <f>IF(AND('Mapa final'!#REF!="Muy Alta",'Mapa final'!#REF!="Mayor"),CONCATENATE("R7C",'Mapa final'!#REF!),"")</f>
        <v>#REF!</v>
      </c>
      <c r="AH12" s="24" t="e">
        <f>IF(AND('Mapa final'!#REF!="Muy Alta",'Mapa final'!#REF!="Catastrófico"),CONCATENATE("R7C",'Mapa final'!#REF!),"")</f>
        <v>#REF!</v>
      </c>
      <c r="AI12" s="25" t="e">
        <f>IF(AND('Mapa final'!#REF!="Muy Alta",'Mapa final'!#REF!="Catastrófico"),CONCATENATE("R7C",'Mapa final'!#REF!),"")</f>
        <v>#REF!</v>
      </c>
      <c r="AJ12" s="25" t="e">
        <f>IF(AND('Mapa final'!#REF!="Muy Alta",'Mapa final'!#REF!="Catastrófico"),CONCATENATE("R7C",'Mapa final'!#REF!),"")</f>
        <v>#REF!</v>
      </c>
      <c r="AK12" s="25" t="e">
        <f>IF(AND('Mapa final'!#REF!="Muy Alta",'Mapa final'!#REF!="Catastrófico"),CONCATENATE("R7C",'Mapa final'!#REF!),"")</f>
        <v>#REF!</v>
      </c>
      <c r="AL12" s="25" t="e">
        <f>IF(AND('Mapa final'!#REF!="Muy Alta",'Mapa final'!#REF!="Catastrófico"),CONCATENATE("R7C",'Mapa final'!#REF!),"")</f>
        <v>#REF!</v>
      </c>
      <c r="AM12" s="26" t="e">
        <f>IF(AND('Mapa final'!#REF!="Muy Alta",'Mapa final'!#REF!="Catastrófico"),CONCATENATE("R7C",'Mapa final'!#REF!),"")</f>
        <v>#REF!</v>
      </c>
      <c r="AN12" s="1"/>
      <c r="AO12" s="261"/>
      <c r="AP12" s="201"/>
      <c r="AQ12" s="201"/>
      <c r="AR12" s="201"/>
      <c r="AS12" s="201"/>
      <c r="AT12" s="262"/>
    </row>
    <row r="13" spans="2:46" ht="15" customHeight="1" x14ac:dyDescent="0.25">
      <c r="B13" s="278"/>
      <c r="C13" s="201"/>
      <c r="D13" s="202"/>
      <c r="E13" s="213"/>
      <c r="F13" s="201"/>
      <c r="G13" s="201"/>
      <c r="H13" s="201"/>
      <c r="I13" s="202"/>
      <c r="J13" s="21" t="e">
        <f>IF(AND('Mapa final'!#REF!="Muy Alta",'Mapa final'!#REF!="Leve"),CONCATENATE("R8C",'Mapa final'!#REF!),"")</f>
        <v>#REF!</v>
      </c>
      <c r="K13" s="22" t="e">
        <f>IF(AND('Mapa final'!#REF!="Muy Alta",'Mapa final'!#REF!="Leve"),CONCATENATE("R8C",'Mapa final'!#REF!),"")</f>
        <v>#REF!</v>
      </c>
      <c r="L13" s="22" t="e">
        <f>IF(AND('Mapa final'!#REF!="Muy Alta",'Mapa final'!#REF!="Leve"),CONCATENATE("R8C",'Mapa final'!#REF!),"")</f>
        <v>#REF!</v>
      </c>
      <c r="M13" s="22" t="e">
        <f>IF(AND('Mapa final'!#REF!="Muy Alta",'Mapa final'!#REF!="Leve"),CONCATENATE("R8C",'Mapa final'!#REF!),"")</f>
        <v>#REF!</v>
      </c>
      <c r="N13" s="22" t="e">
        <f>IF(AND('Mapa final'!#REF!="Muy Alta",'Mapa final'!#REF!="Leve"),CONCATENATE("R8C",'Mapa final'!#REF!),"")</f>
        <v>#REF!</v>
      </c>
      <c r="O13" s="23" t="e">
        <f>IF(AND('Mapa final'!#REF!="Muy Alta",'Mapa final'!#REF!="Leve"),CONCATENATE("R8C",'Mapa final'!#REF!),"")</f>
        <v>#REF!</v>
      </c>
      <c r="P13" s="21" t="e">
        <f>IF(AND('Mapa final'!#REF!="Muy Alta",'Mapa final'!#REF!="Menor"),CONCATENATE("R8C",'Mapa final'!#REF!),"")</f>
        <v>#REF!</v>
      </c>
      <c r="Q13" s="22" t="e">
        <f>IF(AND('Mapa final'!#REF!="Muy Alta",'Mapa final'!#REF!="Menor"),CONCATENATE("R8C",'Mapa final'!#REF!),"")</f>
        <v>#REF!</v>
      </c>
      <c r="R13" s="22" t="e">
        <f>IF(AND('Mapa final'!#REF!="Muy Alta",'Mapa final'!#REF!="Menor"),CONCATENATE("R8C",'Mapa final'!#REF!),"")</f>
        <v>#REF!</v>
      </c>
      <c r="S13" s="22" t="e">
        <f>IF(AND('Mapa final'!#REF!="Muy Alta",'Mapa final'!#REF!="Menor"),CONCATENATE("R8C",'Mapa final'!#REF!),"")</f>
        <v>#REF!</v>
      </c>
      <c r="T13" s="22" t="e">
        <f>IF(AND('Mapa final'!#REF!="Muy Alta",'Mapa final'!#REF!="Menor"),CONCATENATE("R8C",'Mapa final'!#REF!),"")</f>
        <v>#REF!</v>
      </c>
      <c r="U13" s="23" t="e">
        <f>IF(AND('Mapa final'!#REF!="Muy Alta",'Mapa final'!#REF!="Menor"),CONCATENATE("R8C",'Mapa final'!#REF!),"")</f>
        <v>#REF!</v>
      </c>
      <c r="V13" s="21" t="e">
        <f>IF(AND('Mapa final'!#REF!="Muy Alta",'Mapa final'!#REF!="Moderado"),CONCATENATE("R8C",'Mapa final'!#REF!),"")</f>
        <v>#REF!</v>
      </c>
      <c r="W13" s="22" t="e">
        <f>IF(AND('Mapa final'!#REF!="Muy Alta",'Mapa final'!#REF!="Moderado"),CONCATENATE("R8C",'Mapa final'!#REF!),"")</f>
        <v>#REF!</v>
      </c>
      <c r="X13" s="22" t="e">
        <f>IF(AND('Mapa final'!#REF!="Muy Alta",'Mapa final'!#REF!="Moderado"),CONCATENATE("R8C",'Mapa final'!#REF!),"")</f>
        <v>#REF!</v>
      </c>
      <c r="Y13" s="22" t="e">
        <f>IF(AND('Mapa final'!#REF!="Muy Alta",'Mapa final'!#REF!="Moderado"),CONCATENATE("R8C",'Mapa final'!#REF!),"")</f>
        <v>#REF!</v>
      </c>
      <c r="Z13" s="22" t="e">
        <f>IF(AND('Mapa final'!#REF!="Muy Alta",'Mapa final'!#REF!="Moderado"),CONCATENATE("R8C",'Mapa final'!#REF!),"")</f>
        <v>#REF!</v>
      </c>
      <c r="AA13" s="23" t="e">
        <f>IF(AND('Mapa final'!#REF!="Muy Alta",'Mapa final'!#REF!="Moderado"),CONCATENATE("R8C",'Mapa final'!#REF!),"")</f>
        <v>#REF!</v>
      </c>
      <c r="AB13" s="21" t="e">
        <f>IF(AND('Mapa final'!#REF!="Muy Alta",'Mapa final'!#REF!="Mayor"),CONCATENATE("R8C",'Mapa final'!#REF!),"")</f>
        <v>#REF!</v>
      </c>
      <c r="AC13" s="22" t="e">
        <f>IF(AND('Mapa final'!#REF!="Muy Alta",'Mapa final'!#REF!="Mayor"),CONCATENATE("R8C",'Mapa final'!#REF!),"")</f>
        <v>#REF!</v>
      </c>
      <c r="AD13" s="22" t="e">
        <f>IF(AND('Mapa final'!#REF!="Muy Alta",'Mapa final'!#REF!="Mayor"),CONCATENATE("R8C",'Mapa final'!#REF!),"")</f>
        <v>#REF!</v>
      </c>
      <c r="AE13" s="22" t="e">
        <f>IF(AND('Mapa final'!#REF!="Muy Alta",'Mapa final'!#REF!="Mayor"),CONCATENATE("R8C",'Mapa final'!#REF!),"")</f>
        <v>#REF!</v>
      </c>
      <c r="AF13" s="22" t="e">
        <f>IF(AND('Mapa final'!#REF!="Muy Alta",'Mapa final'!#REF!="Mayor"),CONCATENATE("R8C",'Mapa final'!#REF!),"")</f>
        <v>#REF!</v>
      </c>
      <c r="AG13" s="23" t="e">
        <f>IF(AND('Mapa final'!#REF!="Muy Alta",'Mapa final'!#REF!="Mayor"),CONCATENATE("R8C",'Mapa final'!#REF!),"")</f>
        <v>#REF!</v>
      </c>
      <c r="AH13" s="24" t="e">
        <f>IF(AND('Mapa final'!#REF!="Muy Alta",'Mapa final'!#REF!="Catastrófico"),CONCATENATE("R8C",'Mapa final'!#REF!),"")</f>
        <v>#REF!</v>
      </c>
      <c r="AI13" s="25" t="e">
        <f>IF(AND('Mapa final'!#REF!="Muy Alta",'Mapa final'!#REF!="Catastrófico"),CONCATENATE("R8C",'Mapa final'!#REF!),"")</f>
        <v>#REF!</v>
      </c>
      <c r="AJ13" s="25" t="e">
        <f>IF(AND('Mapa final'!#REF!="Muy Alta",'Mapa final'!#REF!="Catastrófico"),CONCATENATE("R8C",'Mapa final'!#REF!),"")</f>
        <v>#REF!</v>
      </c>
      <c r="AK13" s="25" t="e">
        <f>IF(AND('Mapa final'!#REF!="Muy Alta",'Mapa final'!#REF!="Catastrófico"),CONCATENATE("R8C",'Mapa final'!#REF!),"")</f>
        <v>#REF!</v>
      </c>
      <c r="AL13" s="25" t="e">
        <f>IF(AND('Mapa final'!#REF!="Muy Alta",'Mapa final'!#REF!="Catastrófico"),CONCATENATE("R8C",'Mapa final'!#REF!),"")</f>
        <v>#REF!</v>
      </c>
      <c r="AM13" s="26" t="e">
        <f>IF(AND('Mapa final'!#REF!="Muy Alta",'Mapa final'!#REF!="Catastrófico"),CONCATENATE("R8C",'Mapa final'!#REF!),"")</f>
        <v>#REF!</v>
      </c>
      <c r="AN13" s="1"/>
      <c r="AO13" s="261"/>
      <c r="AP13" s="201"/>
      <c r="AQ13" s="201"/>
      <c r="AR13" s="201"/>
      <c r="AS13" s="201"/>
      <c r="AT13" s="262"/>
    </row>
    <row r="14" spans="2:46" ht="15" customHeight="1" x14ac:dyDescent="0.25">
      <c r="B14" s="278"/>
      <c r="C14" s="201"/>
      <c r="D14" s="202"/>
      <c r="E14" s="213"/>
      <c r="F14" s="201"/>
      <c r="G14" s="201"/>
      <c r="H14" s="201"/>
      <c r="I14" s="202"/>
      <c r="J14" s="21" t="e">
        <f>IF(AND('Mapa final'!#REF!="Muy Alta",'Mapa final'!#REF!="Leve"),CONCATENATE("R9C",'Mapa final'!#REF!),"")</f>
        <v>#REF!</v>
      </c>
      <c r="K14" s="22" t="e">
        <f>IF(AND('Mapa final'!#REF!="Muy Alta",'Mapa final'!#REF!="Leve"),CONCATENATE("R9C",'Mapa final'!#REF!),"")</f>
        <v>#REF!</v>
      </c>
      <c r="L14" s="22" t="e">
        <f>IF(AND('Mapa final'!#REF!="Muy Alta",'Mapa final'!#REF!="Leve"),CONCATENATE("R9C",'Mapa final'!#REF!),"")</f>
        <v>#REF!</v>
      </c>
      <c r="M14" s="22" t="e">
        <f>IF(AND('Mapa final'!#REF!="Muy Alta",'Mapa final'!#REF!="Leve"),CONCATENATE("R9C",'Mapa final'!#REF!),"")</f>
        <v>#REF!</v>
      </c>
      <c r="N14" s="22" t="e">
        <f>IF(AND('Mapa final'!#REF!="Muy Alta",'Mapa final'!#REF!="Leve"),CONCATENATE("R9C",'Mapa final'!#REF!),"")</f>
        <v>#REF!</v>
      </c>
      <c r="O14" s="23" t="e">
        <f>IF(AND('Mapa final'!#REF!="Muy Alta",'Mapa final'!#REF!="Leve"),CONCATENATE("R9C",'Mapa final'!#REF!),"")</f>
        <v>#REF!</v>
      </c>
      <c r="P14" s="21" t="e">
        <f>IF(AND('Mapa final'!#REF!="Muy Alta",'Mapa final'!#REF!="Menor"),CONCATENATE("R9C",'Mapa final'!#REF!),"")</f>
        <v>#REF!</v>
      </c>
      <c r="Q14" s="22" t="e">
        <f>IF(AND('Mapa final'!#REF!="Muy Alta",'Mapa final'!#REF!="Menor"),CONCATENATE("R9C",'Mapa final'!#REF!),"")</f>
        <v>#REF!</v>
      </c>
      <c r="R14" s="22" t="e">
        <f>IF(AND('Mapa final'!#REF!="Muy Alta",'Mapa final'!#REF!="Menor"),CONCATENATE("R9C",'Mapa final'!#REF!),"")</f>
        <v>#REF!</v>
      </c>
      <c r="S14" s="22" t="e">
        <f>IF(AND('Mapa final'!#REF!="Muy Alta",'Mapa final'!#REF!="Menor"),CONCATENATE("R9C",'Mapa final'!#REF!),"")</f>
        <v>#REF!</v>
      </c>
      <c r="T14" s="22" t="e">
        <f>IF(AND('Mapa final'!#REF!="Muy Alta",'Mapa final'!#REF!="Menor"),CONCATENATE("R9C",'Mapa final'!#REF!),"")</f>
        <v>#REF!</v>
      </c>
      <c r="U14" s="23" t="e">
        <f>IF(AND('Mapa final'!#REF!="Muy Alta",'Mapa final'!#REF!="Menor"),CONCATENATE("R9C",'Mapa final'!#REF!),"")</f>
        <v>#REF!</v>
      </c>
      <c r="V14" s="21" t="e">
        <f>IF(AND('Mapa final'!#REF!="Muy Alta",'Mapa final'!#REF!="Moderado"),CONCATENATE("R9C",'Mapa final'!#REF!),"")</f>
        <v>#REF!</v>
      </c>
      <c r="W14" s="22" t="e">
        <f>IF(AND('Mapa final'!#REF!="Muy Alta",'Mapa final'!#REF!="Moderado"),CONCATENATE("R9C",'Mapa final'!#REF!),"")</f>
        <v>#REF!</v>
      </c>
      <c r="X14" s="22" t="e">
        <f>IF(AND('Mapa final'!#REF!="Muy Alta",'Mapa final'!#REF!="Moderado"),CONCATENATE("R9C",'Mapa final'!#REF!),"")</f>
        <v>#REF!</v>
      </c>
      <c r="Y14" s="22" t="e">
        <f>IF(AND('Mapa final'!#REF!="Muy Alta",'Mapa final'!#REF!="Moderado"),CONCATENATE("R9C",'Mapa final'!#REF!),"")</f>
        <v>#REF!</v>
      </c>
      <c r="Z14" s="22" t="e">
        <f>IF(AND('Mapa final'!#REF!="Muy Alta",'Mapa final'!#REF!="Moderado"),CONCATENATE("R9C",'Mapa final'!#REF!),"")</f>
        <v>#REF!</v>
      </c>
      <c r="AA14" s="23" t="e">
        <f>IF(AND('Mapa final'!#REF!="Muy Alta",'Mapa final'!#REF!="Moderado"),CONCATENATE("R9C",'Mapa final'!#REF!),"")</f>
        <v>#REF!</v>
      </c>
      <c r="AB14" s="21" t="e">
        <f>IF(AND('Mapa final'!#REF!="Muy Alta",'Mapa final'!#REF!="Mayor"),CONCATENATE("R9C",'Mapa final'!#REF!),"")</f>
        <v>#REF!</v>
      </c>
      <c r="AC14" s="22" t="e">
        <f>IF(AND('Mapa final'!#REF!="Muy Alta",'Mapa final'!#REF!="Mayor"),CONCATENATE("R9C",'Mapa final'!#REF!),"")</f>
        <v>#REF!</v>
      </c>
      <c r="AD14" s="22" t="e">
        <f>IF(AND('Mapa final'!#REF!="Muy Alta",'Mapa final'!#REF!="Mayor"),CONCATENATE("R9C",'Mapa final'!#REF!),"")</f>
        <v>#REF!</v>
      </c>
      <c r="AE14" s="22" t="e">
        <f>IF(AND('Mapa final'!#REF!="Muy Alta",'Mapa final'!#REF!="Mayor"),CONCATENATE("R9C",'Mapa final'!#REF!),"")</f>
        <v>#REF!</v>
      </c>
      <c r="AF14" s="22" t="e">
        <f>IF(AND('Mapa final'!#REF!="Muy Alta",'Mapa final'!#REF!="Mayor"),CONCATENATE("R9C",'Mapa final'!#REF!),"")</f>
        <v>#REF!</v>
      </c>
      <c r="AG14" s="23" t="e">
        <f>IF(AND('Mapa final'!#REF!="Muy Alta",'Mapa final'!#REF!="Mayor"),CONCATENATE("R9C",'Mapa final'!#REF!),"")</f>
        <v>#REF!</v>
      </c>
      <c r="AH14" s="24" t="e">
        <f>IF(AND('Mapa final'!#REF!="Muy Alta",'Mapa final'!#REF!="Catastrófico"),CONCATENATE("R9C",'Mapa final'!#REF!),"")</f>
        <v>#REF!</v>
      </c>
      <c r="AI14" s="25" t="e">
        <f>IF(AND('Mapa final'!#REF!="Muy Alta",'Mapa final'!#REF!="Catastrófico"),CONCATENATE("R9C",'Mapa final'!#REF!),"")</f>
        <v>#REF!</v>
      </c>
      <c r="AJ14" s="25" t="e">
        <f>IF(AND('Mapa final'!#REF!="Muy Alta",'Mapa final'!#REF!="Catastrófico"),CONCATENATE("R9C",'Mapa final'!#REF!),"")</f>
        <v>#REF!</v>
      </c>
      <c r="AK14" s="25" t="e">
        <f>IF(AND('Mapa final'!#REF!="Muy Alta",'Mapa final'!#REF!="Catastrófico"),CONCATENATE("R9C",'Mapa final'!#REF!),"")</f>
        <v>#REF!</v>
      </c>
      <c r="AL14" s="25" t="e">
        <f>IF(AND('Mapa final'!#REF!="Muy Alta",'Mapa final'!#REF!="Catastrófico"),CONCATENATE("R9C",'Mapa final'!#REF!),"")</f>
        <v>#REF!</v>
      </c>
      <c r="AM14" s="26" t="e">
        <f>IF(AND('Mapa final'!#REF!="Muy Alta",'Mapa final'!#REF!="Catastrófico"),CONCATENATE("R9C",'Mapa final'!#REF!),"")</f>
        <v>#REF!</v>
      </c>
      <c r="AN14" s="1"/>
      <c r="AO14" s="261"/>
      <c r="AP14" s="201"/>
      <c r="AQ14" s="201"/>
      <c r="AR14" s="201"/>
      <c r="AS14" s="201"/>
      <c r="AT14" s="262"/>
    </row>
    <row r="15" spans="2:46" ht="15.75" customHeight="1" x14ac:dyDescent="0.25">
      <c r="B15" s="278"/>
      <c r="C15" s="201"/>
      <c r="D15" s="202"/>
      <c r="E15" s="247"/>
      <c r="F15" s="271"/>
      <c r="G15" s="271"/>
      <c r="H15" s="271"/>
      <c r="I15" s="250"/>
      <c r="J15" s="27" t="e">
        <f>IF(AND('Mapa final'!#REF!="Muy Alta",'Mapa final'!#REF!="Leve"),CONCATENATE("R10C",'Mapa final'!#REF!),"")</f>
        <v>#REF!</v>
      </c>
      <c r="K15" s="28" t="e">
        <f>IF(AND('Mapa final'!#REF!="Muy Alta",'Mapa final'!#REF!="Leve"),CONCATENATE("R10C",'Mapa final'!#REF!),"")</f>
        <v>#REF!</v>
      </c>
      <c r="L15" s="28" t="e">
        <f>IF(AND('Mapa final'!#REF!="Muy Alta",'Mapa final'!#REF!="Leve"),CONCATENATE("R10C",'Mapa final'!#REF!),"")</f>
        <v>#REF!</v>
      </c>
      <c r="M15" s="28" t="e">
        <f>IF(AND('Mapa final'!#REF!="Muy Alta",'Mapa final'!#REF!="Leve"),CONCATENATE("R10C",'Mapa final'!#REF!),"")</f>
        <v>#REF!</v>
      </c>
      <c r="N15" s="28" t="e">
        <f>IF(AND('Mapa final'!#REF!="Muy Alta",'Mapa final'!#REF!="Leve"),CONCATENATE("R10C",'Mapa final'!#REF!),"")</f>
        <v>#REF!</v>
      </c>
      <c r="O15" s="29" t="e">
        <f>IF(AND('Mapa final'!#REF!="Muy Alta",'Mapa final'!#REF!="Leve"),CONCATENATE("R10C",'Mapa final'!#REF!),"")</f>
        <v>#REF!</v>
      </c>
      <c r="P15" s="21" t="e">
        <f>IF(AND('Mapa final'!#REF!="Muy Alta",'Mapa final'!#REF!="Menor"),CONCATENATE("R10C",'Mapa final'!#REF!),"")</f>
        <v>#REF!</v>
      </c>
      <c r="Q15" s="22" t="e">
        <f>IF(AND('Mapa final'!#REF!="Muy Alta",'Mapa final'!#REF!="Menor"),CONCATENATE("R10C",'Mapa final'!#REF!),"")</f>
        <v>#REF!</v>
      </c>
      <c r="R15" s="22" t="e">
        <f>IF(AND('Mapa final'!#REF!="Muy Alta",'Mapa final'!#REF!="Menor"),CONCATENATE("R10C",'Mapa final'!#REF!),"")</f>
        <v>#REF!</v>
      </c>
      <c r="S15" s="22" t="e">
        <f>IF(AND('Mapa final'!#REF!="Muy Alta",'Mapa final'!#REF!="Menor"),CONCATENATE("R10C",'Mapa final'!#REF!),"")</f>
        <v>#REF!</v>
      </c>
      <c r="T15" s="22" t="e">
        <f>IF(AND('Mapa final'!#REF!="Muy Alta",'Mapa final'!#REF!="Menor"),CONCATENATE("R10C",'Mapa final'!#REF!),"")</f>
        <v>#REF!</v>
      </c>
      <c r="U15" s="23" t="e">
        <f>IF(AND('Mapa final'!#REF!="Muy Alta",'Mapa final'!#REF!="Menor"),CONCATENATE("R10C",'Mapa final'!#REF!),"")</f>
        <v>#REF!</v>
      </c>
      <c r="V15" s="27" t="e">
        <f>IF(AND('Mapa final'!#REF!="Muy Alta",'Mapa final'!#REF!="Moderado"),CONCATENATE("R10C",'Mapa final'!#REF!),"")</f>
        <v>#REF!</v>
      </c>
      <c r="W15" s="28" t="e">
        <f>IF(AND('Mapa final'!#REF!="Muy Alta",'Mapa final'!#REF!="Moderado"),CONCATENATE("R10C",'Mapa final'!#REF!),"")</f>
        <v>#REF!</v>
      </c>
      <c r="X15" s="28" t="e">
        <f>IF(AND('Mapa final'!#REF!="Muy Alta",'Mapa final'!#REF!="Moderado"),CONCATENATE("R10C",'Mapa final'!#REF!),"")</f>
        <v>#REF!</v>
      </c>
      <c r="Y15" s="28" t="e">
        <f>IF(AND('Mapa final'!#REF!="Muy Alta",'Mapa final'!#REF!="Moderado"),CONCATENATE("R10C",'Mapa final'!#REF!),"")</f>
        <v>#REF!</v>
      </c>
      <c r="Z15" s="28" t="e">
        <f>IF(AND('Mapa final'!#REF!="Muy Alta",'Mapa final'!#REF!="Moderado"),CONCATENATE("R10C",'Mapa final'!#REF!),"")</f>
        <v>#REF!</v>
      </c>
      <c r="AA15" s="29" t="e">
        <f>IF(AND('Mapa final'!#REF!="Muy Alta",'Mapa final'!#REF!="Moderado"),CONCATENATE("R10C",'Mapa final'!#REF!),"")</f>
        <v>#REF!</v>
      </c>
      <c r="AB15" s="21" t="e">
        <f>IF(AND('Mapa final'!#REF!="Muy Alta",'Mapa final'!#REF!="Mayor"),CONCATENATE("R10C",'Mapa final'!#REF!),"")</f>
        <v>#REF!</v>
      </c>
      <c r="AC15" s="22" t="e">
        <f>IF(AND('Mapa final'!#REF!="Muy Alta",'Mapa final'!#REF!="Mayor"),CONCATENATE("R10C",'Mapa final'!#REF!),"")</f>
        <v>#REF!</v>
      </c>
      <c r="AD15" s="22" t="e">
        <f>IF(AND('Mapa final'!#REF!="Muy Alta",'Mapa final'!#REF!="Mayor"),CONCATENATE("R10C",'Mapa final'!#REF!),"")</f>
        <v>#REF!</v>
      </c>
      <c r="AE15" s="22" t="e">
        <f>IF(AND('Mapa final'!#REF!="Muy Alta",'Mapa final'!#REF!="Mayor"),CONCATENATE("R10C",'Mapa final'!#REF!),"")</f>
        <v>#REF!</v>
      </c>
      <c r="AF15" s="22" t="e">
        <f>IF(AND('Mapa final'!#REF!="Muy Alta",'Mapa final'!#REF!="Mayor"),CONCATENATE("R10C",'Mapa final'!#REF!),"")</f>
        <v>#REF!</v>
      </c>
      <c r="AG15" s="23" t="e">
        <f>IF(AND('Mapa final'!#REF!="Muy Alta",'Mapa final'!#REF!="Mayor"),CONCATENATE("R10C",'Mapa final'!#REF!),"")</f>
        <v>#REF!</v>
      </c>
      <c r="AH15" s="30" t="e">
        <f>IF(AND('Mapa final'!#REF!="Muy Alta",'Mapa final'!#REF!="Catastrófico"),CONCATENATE("R10C",'Mapa final'!#REF!),"")</f>
        <v>#REF!</v>
      </c>
      <c r="AI15" s="31" t="e">
        <f>IF(AND('Mapa final'!#REF!="Muy Alta",'Mapa final'!#REF!="Catastrófico"),CONCATENATE("R10C",'Mapa final'!#REF!),"")</f>
        <v>#REF!</v>
      </c>
      <c r="AJ15" s="31" t="e">
        <f>IF(AND('Mapa final'!#REF!="Muy Alta",'Mapa final'!#REF!="Catastrófico"),CONCATENATE("R10C",'Mapa final'!#REF!),"")</f>
        <v>#REF!</v>
      </c>
      <c r="AK15" s="31" t="e">
        <f>IF(AND('Mapa final'!#REF!="Muy Alta",'Mapa final'!#REF!="Catastrófico"),CONCATENATE("R10C",'Mapa final'!#REF!),"")</f>
        <v>#REF!</v>
      </c>
      <c r="AL15" s="31" t="e">
        <f>IF(AND('Mapa final'!#REF!="Muy Alta",'Mapa final'!#REF!="Catastrófico"),CONCATENATE("R10C",'Mapa final'!#REF!),"")</f>
        <v>#REF!</v>
      </c>
      <c r="AM15" s="32" t="e">
        <f>IF(AND('Mapa final'!#REF!="Muy Alta",'Mapa final'!#REF!="Catastrófico"),CONCATENATE("R10C",'Mapa final'!#REF!),"")</f>
        <v>#REF!</v>
      </c>
      <c r="AN15" s="1"/>
      <c r="AO15" s="263"/>
      <c r="AP15" s="264"/>
      <c r="AQ15" s="264"/>
      <c r="AR15" s="264"/>
      <c r="AS15" s="264"/>
      <c r="AT15" s="265"/>
    </row>
    <row r="16" spans="2:46" ht="15" customHeight="1" x14ac:dyDescent="0.25">
      <c r="B16" s="278"/>
      <c r="C16" s="201"/>
      <c r="D16" s="202"/>
      <c r="E16" s="286" t="s">
        <v>97</v>
      </c>
      <c r="F16" s="270"/>
      <c r="G16" s="270"/>
      <c r="H16" s="270"/>
      <c r="I16" s="270"/>
      <c r="J16" s="33" t="str">
        <f>IF(AND('Mapa final'!$Y$16="Alta",'Mapa final'!$AA$16="Leve"),CONCATENATE("R1C",'Mapa final'!$O$16),"")</f>
        <v/>
      </c>
      <c r="K16" s="34" t="str">
        <f>IF(AND('Mapa final'!$Y$17="Alta",'Mapa final'!$AA$17="Leve"),CONCATENATE("R1C",'Mapa final'!$O$17),"")</f>
        <v/>
      </c>
      <c r="L16" s="34" t="str">
        <f>IF(AND('Mapa final'!$Y$18="Alta",'Mapa final'!$AA$18="Leve"),CONCATENATE("R1C",'Mapa final'!$O$18),"")</f>
        <v/>
      </c>
      <c r="M16" s="34" t="e">
        <f>IF(AND('Mapa final'!#REF!="Alta",'Mapa final'!#REF!="Leve"),CONCATENATE("R1C",'Mapa final'!#REF!),"")</f>
        <v>#REF!</v>
      </c>
      <c r="N16" s="34" t="e">
        <f>IF(AND('Mapa final'!#REF!="Alta",'Mapa final'!#REF!="Leve"),CONCATENATE("R1C",'Mapa final'!#REF!),"")</f>
        <v>#REF!</v>
      </c>
      <c r="O16" s="35" t="e">
        <f>IF(AND('Mapa final'!#REF!="Alta",'Mapa final'!#REF!="Leve"),CONCATENATE("R1C",'Mapa final'!#REF!),"")</f>
        <v>#REF!</v>
      </c>
      <c r="P16" s="33" t="str">
        <f>IF(AND('Mapa final'!$Y$16="Alta",'Mapa final'!$AA$16="Menor"),CONCATENATE("R1C",'Mapa final'!$O$16),"")</f>
        <v/>
      </c>
      <c r="Q16" s="34" t="str">
        <f>IF(AND('Mapa final'!$Y$17="Alta",'Mapa final'!$AA$17="Menor"),CONCATENATE("R1C",'Mapa final'!$O$17),"")</f>
        <v/>
      </c>
      <c r="R16" s="34" t="str">
        <f>IF(AND('Mapa final'!$Y$18="Alta",'Mapa final'!$AA$18="Menor"),CONCATENATE("R1C",'Mapa final'!$O$18),"")</f>
        <v/>
      </c>
      <c r="S16" s="34" t="e">
        <f>IF(AND('Mapa final'!#REF!="Alta",'Mapa final'!#REF!="Menor"),CONCATENATE("R1C",'Mapa final'!#REF!),"")</f>
        <v>#REF!</v>
      </c>
      <c r="T16" s="34" t="e">
        <f>IF(AND('Mapa final'!#REF!="Alta",'Mapa final'!#REF!="Menor"),CONCATENATE("R1C",'Mapa final'!#REF!),"")</f>
        <v>#REF!</v>
      </c>
      <c r="U16" s="35" t="e">
        <f>IF(AND('Mapa final'!#REF!="Alta",'Mapa final'!#REF!="Menor"),CONCATENATE("R1C",'Mapa final'!#REF!),"")</f>
        <v>#REF!</v>
      </c>
      <c r="V16" s="15" t="str">
        <f>IF(AND('Mapa final'!$Y$16="Alta",'Mapa final'!$AA$16="Moderado"),CONCATENATE("R1C",'Mapa final'!$O$16),"")</f>
        <v/>
      </c>
      <c r="W16" s="16" t="str">
        <f>IF(AND('Mapa final'!$Y$17="Alta",'Mapa final'!$AA$17="Moderado"),CONCATENATE("R1C",'Mapa final'!$O$17),"")</f>
        <v/>
      </c>
      <c r="X16" s="16" t="str">
        <f>IF(AND('Mapa final'!$Y$18="Alta",'Mapa final'!$AA$18="Moderado"),CONCATENATE("R1C",'Mapa final'!$O$18),"")</f>
        <v/>
      </c>
      <c r="Y16" s="16" t="e">
        <f>IF(AND('Mapa final'!#REF!="Alta",'Mapa final'!#REF!="Moderado"),CONCATENATE("R1C",'Mapa final'!#REF!),"")</f>
        <v>#REF!</v>
      </c>
      <c r="Z16" s="16" t="e">
        <f>IF(AND('Mapa final'!#REF!="Alta",'Mapa final'!#REF!="Moderado"),CONCATENATE("R1C",'Mapa final'!#REF!),"")</f>
        <v>#REF!</v>
      </c>
      <c r="AA16" s="17" t="e">
        <f>IF(AND('Mapa final'!#REF!="Alta",'Mapa final'!#REF!="Moderado"),CONCATENATE("R1C",'Mapa final'!#REF!),"")</f>
        <v>#REF!</v>
      </c>
      <c r="AB16" s="15" t="str">
        <f>IF(AND('Mapa final'!$Y$16="Alta",'Mapa final'!$AA$16="Mayor"),CONCATENATE("R1C",'Mapa final'!$O$16),"")</f>
        <v/>
      </c>
      <c r="AC16" s="16" t="str">
        <f>IF(AND('Mapa final'!$Y$17="Alta",'Mapa final'!$AA$17="Mayor"),CONCATENATE("R1C",'Mapa final'!$O$17),"")</f>
        <v/>
      </c>
      <c r="AD16" s="16" t="str">
        <f>IF(AND('Mapa final'!$Y$18="Alta",'Mapa final'!$AA$18="Mayor"),CONCATENATE("R1C",'Mapa final'!$O$18),"")</f>
        <v/>
      </c>
      <c r="AE16" s="16" t="e">
        <f>IF(AND('Mapa final'!#REF!="Alta",'Mapa final'!#REF!="Mayor"),CONCATENATE("R1C",'Mapa final'!#REF!),"")</f>
        <v>#REF!</v>
      </c>
      <c r="AF16" s="16" t="e">
        <f>IF(AND('Mapa final'!#REF!="Alta",'Mapa final'!#REF!="Mayor"),CONCATENATE("R1C",'Mapa final'!#REF!),"")</f>
        <v>#REF!</v>
      </c>
      <c r="AG16" s="17" t="e">
        <f>IF(AND('Mapa final'!#REF!="Alta",'Mapa final'!#REF!="Mayor"),CONCATENATE("R1C",'Mapa final'!#REF!),"")</f>
        <v>#REF!</v>
      </c>
      <c r="AH16" s="18" t="str">
        <f>IF(AND('Mapa final'!$Y$16="Alta",'Mapa final'!$AA$16="Catastrófico"),CONCATENATE("R1C",'Mapa final'!$O$16),"")</f>
        <v/>
      </c>
      <c r="AI16" s="19" t="str">
        <f>IF(AND('Mapa final'!$Y$17="Alta",'Mapa final'!$AA$17="Catastrófico"),CONCATENATE("R1C",'Mapa final'!$O$17),"")</f>
        <v/>
      </c>
      <c r="AJ16" s="19" t="str">
        <f>IF(AND('Mapa final'!$Y$18="Alta",'Mapa final'!$AA$18="Catastrófico"),CONCATENATE("R1C",'Mapa final'!$O$18),"")</f>
        <v/>
      </c>
      <c r="AK16" s="19" t="e">
        <f>IF(AND('Mapa final'!#REF!="Alta",'Mapa final'!#REF!="Catastrófico"),CONCATENATE("R1C",'Mapa final'!#REF!),"")</f>
        <v>#REF!</v>
      </c>
      <c r="AL16" s="19" t="e">
        <f>IF(AND('Mapa final'!#REF!="Alta",'Mapa final'!#REF!="Catastrófico"),CONCATENATE("R1C",'Mapa final'!#REF!),"")</f>
        <v>#REF!</v>
      </c>
      <c r="AM16" s="20" t="e">
        <f>IF(AND('Mapa final'!#REF!="Alta",'Mapa final'!#REF!="Catastrófico"),CONCATENATE("R1C",'Mapa final'!#REF!),"")</f>
        <v>#REF!</v>
      </c>
      <c r="AN16" s="1"/>
      <c r="AO16" s="282" t="s">
        <v>98</v>
      </c>
      <c r="AP16" s="259"/>
      <c r="AQ16" s="259"/>
      <c r="AR16" s="259"/>
      <c r="AS16" s="259"/>
      <c r="AT16" s="260"/>
    </row>
    <row r="17" spans="2:46" ht="15" customHeight="1" x14ac:dyDescent="0.25">
      <c r="B17" s="278"/>
      <c r="C17" s="201"/>
      <c r="D17" s="202"/>
      <c r="E17" s="213"/>
      <c r="F17" s="201"/>
      <c r="G17" s="201"/>
      <c r="H17" s="201"/>
      <c r="I17" s="201"/>
      <c r="J17" s="36" t="str">
        <f>IF(AND('Mapa final'!$Y$21="Alta",'Mapa final'!$AA$21="Leve"),CONCATENATE("R2C",'Mapa final'!$O$21),"")</f>
        <v/>
      </c>
      <c r="K17" s="37" t="e">
        <f>IF(AND('Mapa final'!#REF!="Alta",'Mapa final'!#REF!="Leve"),CONCATENATE("R2C",'Mapa final'!#REF!),"")</f>
        <v>#REF!</v>
      </c>
      <c r="L17" s="37" t="e">
        <f>IF(AND('Mapa final'!#REF!="Alta",'Mapa final'!#REF!="Leve"),CONCATENATE("R2C",'Mapa final'!#REF!),"")</f>
        <v>#REF!</v>
      </c>
      <c r="M17" s="37" t="e">
        <f>IF(AND('Mapa final'!#REF!="Alta",'Mapa final'!#REF!="Leve"),CONCATENATE("R2C",'Mapa final'!#REF!),"")</f>
        <v>#REF!</v>
      </c>
      <c r="N17" s="37" t="str">
        <f>IF(AND('Mapa final'!$Y$22="Alta",'Mapa final'!$AA$22="Leve"),CONCATENATE("R2C",'Mapa final'!$O$22),"")</f>
        <v/>
      </c>
      <c r="O17" s="38" t="str">
        <f>IF(AND('Mapa final'!$Y$23="Alta",'Mapa final'!$AA$23="Leve"),CONCATENATE("R2C",'Mapa final'!$O$23),"")</f>
        <v/>
      </c>
      <c r="P17" s="36" t="str">
        <f>IF(AND('Mapa final'!$Y$21="Alta",'Mapa final'!$AA$21="Menor"),CONCATENATE("R2C",'Mapa final'!$O$21),"")</f>
        <v/>
      </c>
      <c r="Q17" s="37" t="e">
        <f>IF(AND('Mapa final'!#REF!="Alta",'Mapa final'!#REF!="Menor"),CONCATENATE("R2C",'Mapa final'!#REF!),"")</f>
        <v>#REF!</v>
      </c>
      <c r="R17" s="37" t="e">
        <f>IF(AND('Mapa final'!#REF!="Alta",'Mapa final'!#REF!="Menor"),CONCATENATE("R2C",'Mapa final'!#REF!),"")</f>
        <v>#REF!</v>
      </c>
      <c r="S17" s="37" t="e">
        <f>IF(AND('Mapa final'!#REF!="Alta",'Mapa final'!#REF!="Menor"),CONCATENATE("R2C",'Mapa final'!#REF!),"")</f>
        <v>#REF!</v>
      </c>
      <c r="T17" s="37" t="str">
        <f>IF(AND('Mapa final'!$Y$22="Alta",'Mapa final'!$AA$22="Menor"),CONCATENATE("R2C",'Mapa final'!$O$22),"")</f>
        <v/>
      </c>
      <c r="U17" s="38" t="str">
        <f>IF(AND('Mapa final'!$Y$23="Alta",'Mapa final'!$AA$23="Menor"),CONCATENATE("R2C",'Mapa final'!$O$23),"")</f>
        <v/>
      </c>
      <c r="V17" s="21" t="str">
        <f>IF(AND('Mapa final'!$Y$21="Alta",'Mapa final'!$AA$21="Moderado"),CONCATENATE("R2C",'Mapa final'!$O$21),"")</f>
        <v/>
      </c>
      <c r="W17" s="22" t="e">
        <f>IF(AND('Mapa final'!#REF!="Alta",'Mapa final'!#REF!="Moderado"),CONCATENATE("R2C",'Mapa final'!#REF!),"")</f>
        <v>#REF!</v>
      </c>
      <c r="X17" s="22" t="e">
        <f>IF(AND('Mapa final'!#REF!="Alta",'Mapa final'!#REF!="Moderado"),CONCATENATE("R2C",'Mapa final'!#REF!),"")</f>
        <v>#REF!</v>
      </c>
      <c r="Y17" s="22" t="e">
        <f>IF(AND('Mapa final'!#REF!="Alta",'Mapa final'!#REF!="Moderado"),CONCATENATE("R2C",'Mapa final'!#REF!),"")</f>
        <v>#REF!</v>
      </c>
      <c r="Z17" s="22" t="str">
        <f>IF(AND('Mapa final'!$Y$22="Alta",'Mapa final'!$AA$22="Moderado"),CONCATENATE("R2C",'Mapa final'!$O$22),"")</f>
        <v/>
      </c>
      <c r="AA17" s="23" t="str">
        <f>IF(AND('Mapa final'!$Y$23="Alta",'Mapa final'!$AA$23="Moderado"),CONCATENATE("R2C",'Mapa final'!$O$23),"")</f>
        <v/>
      </c>
      <c r="AB17" s="21" t="str">
        <f>IF(AND('Mapa final'!$Y$21="Alta",'Mapa final'!$AA$21="Mayor"),CONCATENATE("R2C",'Mapa final'!$O$21),"")</f>
        <v/>
      </c>
      <c r="AC17" s="22" t="e">
        <f>IF(AND('Mapa final'!#REF!="Alta",'Mapa final'!#REF!="Mayor"),CONCATENATE("R2C",'Mapa final'!#REF!),"")</f>
        <v>#REF!</v>
      </c>
      <c r="AD17" s="22" t="e">
        <f>IF(AND('Mapa final'!#REF!="Alta",'Mapa final'!#REF!="Mayor"),CONCATENATE("R2C",'Mapa final'!#REF!),"")</f>
        <v>#REF!</v>
      </c>
      <c r="AE17" s="22" t="e">
        <f>IF(AND('Mapa final'!#REF!="Alta",'Mapa final'!#REF!="Mayor"),CONCATENATE("R2C",'Mapa final'!#REF!),"")</f>
        <v>#REF!</v>
      </c>
      <c r="AF17" s="22" t="str">
        <f>IF(AND('Mapa final'!$Y$22="Alta",'Mapa final'!$AA$22="Mayor"),CONCATENATE("R2C",'Mapa final'!$O$22),"")</f>
        <v/>
      </c>
      <c r="AG17" s="23" t="str">
        <f>IF(AND('Mapa final'!$Y$23="Alta",'Mapa final'!$AA$23="Mayor"),CONCATENATE("R2C",'Mapa final'!$O$23),"")</f>
        <v/>
      </c>
      <c r="AH17" s="24" t="str">
        <f>IF(AND('Mapa final'!$Y$21="Alta",'Mapa final'!$AA$21="Catastrófico"),CONCATENATE("R2C",'Mapa final'!$O$21),"")</f>
        <v/>
      </c>
      <c r="AI17" s="25" t="e">
        <f>IF(AND('Mapa final'!#REF!="Alta",'Mapa final'!#REF!="Catastrófico"),CONCATENATE("R2C",'Mapa final'!#REF!),"")</f>
        <v>#REF!</v>
      </c>
      <c r="AJ17" s="25" t="e">
        <f>IF(AND('Mapa final'!#REF!="Alta",'Mapa final'!#REF!="Catastrófico"),CONCATENATE("R2C",'Mapa final'!#REF!),"")</f>
        <v>#REF!</v>
      </c>
      <c r="AK17" s="25" t="e">
        <f>IF(AND('Mapa final'!#REF!="Alta",'Mapa final'!#REF!="Catastrófico"),CONCATENATE("R2C",'Mapa final'!#REF!),"")</f>
        <v>#REF!</v>
      </c>
      <c r="AL17" s="25" t="str">
        <f>IF(AND('Mapa final'!$Y$22="Alta",'Mapa final'!$AA$22="Catastrófico"),CONCATENATE("R2C",'Mapa final'!$O$22),"")</f>
        <v/>
      </c>
      <c r="AM17" s="26" t="str">
        <f>IF(AND('Mapa final'!$Y$23="Alta",'Mapa final'!$AA$23="Catastrófico"),CONCATENATE("R2C",'Mapa final'!$O$23),"")</f>
        <v/>
      </c>
      <c r="AN17" s="1"/>
      <c r="AO17" s="261"/>
      <c r="AP17" s="201"/>
      <c r="AQ17" s="201"/>
      <c r="AR17" s="201"/>
      <c r="AS17" s="201"/>
      <c r="AT17" s="262"/>
    </row>
    <row r="18" spans="2:46" ht="15" customHeight="1" x14ac:dyDescent="0.25">
      <c r="B18" s="278"/>
      <c r="C18" s="201"/>
      <c r="D18" s="202"/>
      <c r="E18" s="213"/>
      <c r="F18" s="201"/>
      <c r="G18" s="201"/>
      <c r="H18" s="201"/>
      <c r="I18" s="201"/>
      <c r="J18" s="36" t="str">
        <f>IF(AND('Mapa final'!$Y$26="Alta",'Mapa final'!$AA$26="Leve"),CONCATENATE("R3C",'Mapa final'!$O$26),"")</f>
        <v/>
      </c>
      <c r="K18" s="37" t="str">
        <f>IF(AND('Mapa final'!$Y$27="Alta",'Mapa final'!$AA$27="Leve"),CONCATENATE("R3C",'Mapa final'!$O$27),"")</f>
        <v/>
      </c>
      <c r="L18" s="37" t="str">
        <f>IF(AND('Mapa final'!$Y$28="Alta",'Mapa final'!$AA$28="Leve"),CONCATENATE("R3C",'Mapa final'!$O$28),"")</f>
        <v/>
      </c>
      <c r="M18" s="37" t="e">
        <f>IF(AND('Mapa final'!#REF!="Alta",'Mapa final'!#REF!="Leve"),CONCATENATE("R3C",'Mapa final'!#REF!),"")</f>
        <v>#REF!</v>
      </c>
      <c r="N18" s="37" t="e">
        <f>IF(AND('Mapa final'!#REF!="Alta",'Mapa final'!#REF!="Leve"),CONCATENATE("R3C",'Mapa final'!#REF!),"")</f>
        <v>#REF!</v>
      </c>
      <c r="O18" s="38" t="e">
        <f>IF(AND('Mapa final'!#REF!="Alta",'Mapa final'!#REF!="Leve"),CONCATENATE("R3C",'Mapa final'!#REF!),"")</f>
        <v>#REF!</v>
      </c>
      <c r="P18" s="36" t="str">
        <f>IF(AND('Mapa final'!$Y$26="Alta",'Mapa final'!$AA$26="Menor"),CONCATENATE("R3C",'Mapa final'!$O$26),"")</f>
        <v/>
      </c>
      <c r="Q18" s="37" t="str">
        <f>IF(AND('Mapa final'!$Y$27="Alta",'Mapa final'!$AA$27="Menor"),CONCATENATE("R3C",'Mapa final'!$O$27),"")</f>
        <v/>
      </c>
      <c r="R18" s="37" t="str">
        <f>IF(AND('Mapa final'!$Y$28="Alta",'Mapa final'!$AA$28="Menor"),CONCATENATE("R3C",'Mapa final'!$O$28),"")</f>
        <v/>
      </c>
      <c r="S18" s="37" t="e">
        <f>IF(AND('Mapa final'!#REF!="Alta",'Mapa final'!#REF!="Menor"),CONCATENATE("R3C",'Mapa final'!#REF!),"")</f>
        <v>#REF!</v>
      </c>
      <c r="T18" s="37" t="e">
        <f>IF(AND('Mapa final'!#REF!="Alta",'Mapa final'!#REF!="Menor"),CONCATENATE("R3C",'Mapa final'!#REF!),"")</f>
        <v>#REF!</v>
      </c>
      <c r="U18" s="38" t="e">
        <f>IF(AND('Mapa final'!#REF!="Alta",'Mapa final'!#REF!="Menor"),CONCATENATE("R3C",'Mapa final'!#REF!),"")</f>
        <v>#REF!</v>
      </c>
      <c r="V18" s="21" t="str">
        <f>IF(AND('Mapa final'!$Y$26="Alta",'Mapa final'!$AA$26="Moderado"),CONCATENATE("R3C",'Mapa final'!$O$26),"")</f>
        <v/>
      </c>
      <c r="W18" s="22" t="str">
        <f>IF(AND('Mapa final'!$Y$27="Alta",'Mapa final'!$AA$27="Moderado"),CONCATENATE("R3C",'Mapa final'!$O$27),"")</f>
        <v/>
      </c>
      <c r="X18" s="22" t="str">
        <f>IF(AND('Mapa final'!$Y$28="Alta",'Mapa final'!$AA$28="Moderado"),CONCATENATE("R3C",'Mapa final'!$O$28),"")</f>
        <v/>
      </c>
      <c r="Y18" s="22" t="e">
        <f>IF(AND('Mapa final'!#REF!="Alta",'Mapa final'!#REF!="Moderado"),CONCATENATE("R3C",'Mapa final'!#REF!),"")</f>
        <v>#REF!</v>
      </c>
      <c r="Z18" s="22" t="e">
        <f>IF(AND('Mapa final'!#REF!="Alta",'Mapa final'!#REF!="Moderado"),CONCATENATE("R3C",'Mapa final'!#REF!),"")</f>
        <v>#REF!</v>
      </c>
      <c r="AA18" s="23" t="e">
        <f>IF(AND('Mapa final'!#REF!="Alta",'Mapa final'!#REF!="Moderado"),CONCATENATE("R3C",'Mapa final'!#REF!),"")</f>
        <v>#REF!</v>
      </c>
      <c r="AB18" s="21" t="str">
        <f>IF(AND('Mapa final'!$Y$26="Alta",'Mapa final'!$AA$26="Mayor"),CONCATENATE("R3C",'Mapa final'!$O$26),"")</f>
        <v/>
      </c>
      <c r="AC18" s="22" t="str">
        <f>IF(AND('Mapa final'!$Y$27="Alta",'Mapa final'!$AA$27="Mayor"),CONCATENATE("R3C",'Mapa final'!$O$27),"")</f>
        <v/>
      </c>
      <c r="AD18" s="22" t="str">
        <f>IF(AND('Mapa final'!$Y$28="Alta",'Mapa final'!$AA$28="Mayor"),CONCATENATE("R3C",'Mapa final'!$O$28),"")</f>
        <v/>
      </c>
      <c r="AE18" s="22" t="e">
        <f>IF(AND('Mapa final'!#REF!="Alta",'Mapa final'!#REF!="Mayor"),CONCATENATE("R3C",'Mapa final'!#REF!),"")</f>
        <v>#REF!</v>
      </c>
      <c r="AF18" s="22" t="e">
        <f>IF(AND('Mapa final'!#REF!="Alta",'Mapa final'!#REF!="Mayor"),CONCATENATE("R3C",'Mapa final'!#REF!),"")</f>
        <v>#REF!</v>
      </c>
      <c r="AG18" s="23" t="e">
        <f>IF(AND('Mapa final'!#REF!="Alta",'Mapa final'!#REF!="Mayor"),CONCATENATE("R3C",'Mapa final'!#REF!),"")</f>
        <v>#REF!</v>
      </c>
      <c r="AH18" s="24" t="str">
        <f>IF(AND('Mapa final'!$Y$26="Alta",'Mapa final'!$AA$26="Catastrófico"),CONCATENATE("R3C",'Mapa final'!$O$26),"")</f>
        <v/>
      </c>
      <c r="AI18" s="25" t="str">
        <f>IF(AND('Mapa final'!$Y$27="Alta",'Mapa final'!$AA$27="Catastrófico"),CONCATENATE("R3C",'Mapa final'!$O$27),"")</f>
        <v/>
      </c>
      <c r="AJ18" s="25" t="str">
        <f>IF(AND('Mapa final'!$Y$28="Alta",'Mapa final'!$AA$28="Catastrófico"),CONCATENATE("R3C",'Mapa final'!$O$28),"")</f>
        <v/>
      </c>
      <c r="AK18" s="25" t="e">
        <f>IF(AND('Mapa final'!#REF!="Alta",'Mapa final'!#REF!="Catastrófico"),CONCATENATE("R3C",'Mapa final'!#REF!),"")</f>
        <v>#REF!</v>
      </c>
      <c r="AL18" s="25" t="e">
        <f>IF(AND('Mapa final'!#REF!="Alta",'Mapa final'!#REF!="Catastrófico"),CONCATENATE("R3C",'Mapa final'!#REF!),"")</f>
        <v>#REF!</v>
      </c>
      <c r="AM18" s="26" t="e">
        <f>IF(AND('Mapa final'!#REF!="Alta",'Mapa final'!#REF!="Catastrófico"),CONCATENATE("R3C",'Mapa final'!#REF!),"")</f>
        <v>#REF!</v>
      </c>
      <c r="AN18" s="1"/>
      <c r="AO18" s="261"/>
      <c r="AP18" s="201"/>
      <c r="AQ18" s="201"/>
      <c r="AR18" s="201"/>
      <c r="AS18" s="201"/>
      <c r="AT18" s="262"/>
    </row>
    <row r="19" spans="2:46" ht="15" customHeight="1" x14ac:dyDescent="0.25">
      <c r="B19" s="278"/>
      <c r="C19" s="201"/>
      <c r="D19" s="202"/>
      <c r="E19" s="213"/>
      <c r="F19" s="201"/>
      <c r="G19" s="201"/>
      <c r="H19" s="201"/>
      <c r="I19" s="201"/>
      <c r="J19" s="36" t="str">
        <f>IF(AND('Mapa final'!$Y$31="Alta",'Mapa final'!$AA$31="Leve"),CONCATENATE("R4C",'Mapa final'!$O$31),"")</f>
        <v/>
      </c>
      <c r="K19" s="37" t="str">
        <f>IF(AND('Mapa final'!$Y$32="Alta",'Mapa final'!$AA$32="Leve"),CONCATENATE("R4C",'Mapa final'!$O$32),"")</f>
        <v/>
      </c>
      <c r="L19" s="37" t="e">
        <f>IF(AND('Mapa final'!#REF!="Alta",'Mapa final'!#REF!="Leve"),CONCATENATE("R4C",'Mapa final'!#REF!),"")</f>
        <v>#REF!</v>
      </c>
      <c r="M19" s="37" t="str">
        <f>IF(AND('Mapa final'!$Y$33="Alta",'Mapa final'!$AA$33="Leve"),CONCATENATE("R4C",'Mapa final'!$O$33),"")</f>
        <v/>
      </c>
      <c r="N19" s="37" t="e">
        <f>IF(AND('Mapa final'!#REF!="Alta",'Mapa final'!#REF!="Leve"),CONCATENATE("R4C",'Mapa final'!#REF!),"")</f>
        <v>#REF!</v>
      </c>
      <c r="O19" s="38" t="e">
        <f>IF(AND('Mapa final'!#REF!="Alta",'Mapa final'!#REF!="Leve"),CONCATENATE("R4C",'Mapa final'!#REF!),"")</f>
        <v>#REF!</v>
      </c>
      <c r="P19" s="36" t="str">
        <f>IF(AND('Mapa final'!$Y$31="Alta",'Mapa final'!$AA$31="Menor"),CONCATENATE("R4C",'Mapa final'!$O$31),"")</f>
        <v/>
      </c>
      <c r="Q19" s="37" t="str">
        <f>IF(AND('Mapa final'!$Y$32="Alta",'Mapa final'!$AA$32="Menor"),CONCATENATE("R4C",'Mapa final'!$O$32),"")</f>
        <v/>
      </c>
      <c r="R19" s="37" t="e">
        <f>IF(AND('Mapa final'!#REF!="Alta",'Mapa final'!#REF!="Menor"),CONCATENATE("R4C",'Mapa final'!#REF!),"")</f>
        <v>#REF!</v>
      </c>
      <c r="S19" s="37" t="str">
        <f>IF(AND('Mapa final'!$Y$33="Alta",'Mapa final'!$AA$33="Menor"),CONCATENATE("R4C",'Mapa final'!$O$33),"")</f>
        <v/>
      </c>
      <c r="T19" s="37" t="e">
        <f>IF(AND('Mapa final'!#REF!="Alta",'Mapa final'!#REF!="Menor"),CONCATENATE("R4C",'Mapa final'!#REF!),"")</f>
        <v>#REF!</v>
      </c>
      <c r="U19" s="38" t="e">
        <f>IF(AND('Mapa final'!#REF!="Alta",'Mapa final'!#REF!="Menor"),CONCATENATE("R4C",'Mapa final'!#REF!),"")</f>
        <v>#REF!</v>
      </c>
      <c r="V19" s="21" t="str">
        <f>IF(AND('Mapa final'!$Y$31="Alta",'Mapa final'!$AA$31="Moderado"),CONCATENATE("R4C",'Mapa final'!$O$31),"")</f>
        <v/>
      </c>
      <c r="W19" s="22" t="str">
        <f>IF(AND('Mapa final'!$Y$32="Alta",'Mapa final'!$AA$32="Moderado"),CONCATENATE("R4C",'Mapa final'!$O$32),"")</f>
        <v/>
      </c>
      <c r="X19" s="22" t="e">
        <f>IF(AND('Mapa final'!#REF!="Alta",'Mapa final'!#REF!="Moderado"),CONCATENATE("R4C",'Mapa final'!#REF!),"")</f>
        <v>#REF!</v>
      </c>
      <c r="Y19" s="22" t="str">
        <f>IF(AND('Mapa final'!$Y$33="Alta",'Mapa final'!$AA$33="Moderado"),CONCATENATE("R4C",'Mapa final'!$O$33),"")</f>
        <v/>
      </c>
      <c r="Z19" s="22" t="e">
        <f>IF(AND('Mapa final'!#REF!="Alta",'Mapa final'!#REF!="Moderado"),CONCATENATE("R4C",'Mapa final'!#REF!),"")</f>
        <v>#REF!</v>
      </c>
      <c r="AA19" s="23" t="e">
        <f>IF(AND('Mapa final'!#REF!="Alta",'Mapa final'!#REF!="Moderado"),CONCATENATE("R4C",'Mapa final'!#REF!),"")</f>
        <v>#REF!</v>
      </c>
      <c r="AB19" s="21" t="str">
        <f>IF(AND('Mapa final'!$Y$31="Alta",'Mapa final'!$AA$31="Mayor"),CONCATENATE("R4C",'Mapa final'!$O$31),"")</f>
        <v/>
      </c>
      <c r="AC19" s="22" t="str">
        <f>IF(AND('Mapa final'!$Y$32="Alta",'Mapa final'!$AA$32="Mayor"),CONCATENATE("R4C",'Mapa final'!$O$32),"")</f>
        <v/>
      </c>
      <c r="AD19" s="22" t="e">
        <f>IF(AND('Mapa final'!#REF!="Alta",'Mapa final'!#REF!="Mayor"),CONCATENATE("R4C",'Mapa final'!#REF!),"")</f>
        <v>#REF!</v>
      </c>
      <c r="AE19" s="22" t="str">
        <f>IF(AND('Mapa final'!$Y$33="Alta",'Mapa final'!$AA$33="Mayor"),CONCATENATE("R4C",'Mapa final'!$O$33),"")</f>
        <v/>
      </c>
      <c r="AF19" s="22" t="e">
        <f>IF(AND('Mapa final'!#REF!="Alta",'Mapa final'!#REF!="Mayor"),CONCATENATE("R4C",'Mapa final'!#REF!),"")</f>
        <v>#REF!</v>
      </c>
      <c r="AG19" s="23" t="e">
        <f>IF(AND('Mapa final'!#REF!="Alta",'Mapa final'!#REF!="Mayor"),CONCATENATE("R4C",'Mapa final'!#REF!),"")</f>
        <v>#REF!</v>
      </c>
      <c r="AH19" s="24" t="str">
        <f>IF(AND('Mapa final'!$Y$31="Alta",'Mapa final'!$AA$31="Catastrófico"),CONCATENATE("R4C",'Mapa final'!$O$31),"")</f>
        <v/>
      </c>
      <c r="AI19" s="25" t="str">
        <f>IF(AND('Mapa final'!$Y$32="Alta",'Mapa final'!$AA$32="Catastrófico"),CONCATENATE("R4C",'Mapa final'!$O$32),"")</f>
        <v/>
      </c>
      <c r="AJ19" s="25" t="e">
        <f>IF(AND('Mapa final'!#REF!="Alta",'Mapa final'!#REF!="Catastrófico"),CONCATENATE("R4C",'Mapa final'!#REF!),"")</f>
        <v>#REF!</v>
      </c>
      <c r="AK19" s="25" t="str">
        <f>IF(AND('Mapa final'!$Y$33="Alta",'Mapa final'!$AA$33="Catastrófico"),CONCATENATE("R4C",'Mapa final'!$O$33),"")</f>
        <v/>
      </c>
      <c r="AL19" s="25" t="e">
        <f>IF(AND('Mapa final'!#REF!="Alta",'Mapa final'!#REF!="Catastrófico"),CONCATENATE("R4C",'Mapa final'!#REF!),"")</f>
        <v>#REF!</v>
      </c>
      <c r="AM19" s="26" t="e">
        <f>IF(AND('Mapa final'!#REF!="Alta",'Mapa final'!#REF!="Catastrófico"),CONCATENATE("R4C",'Mapa final'!#REF!),"")</f>
        <v>#REF!</v>
      </c>
      <c r="AN19" s="1"/>
      <c r="AO19" s="261"/>
      <c r="AP19" s="201"/>
      <c r="AQ19" s="201"/>
      <c r="AR19" s="201"/>
      <c r="AS19" s="201"/>
      <c r="AT19" s="262"/>
    </row>
    <row r="20" spans="2:46" ht="15" customHeight="1" x14ac:dyDescent="0.25">
      <c r="B20" s="278"/>
      <c r="C20" s="201"/>
      <c r="D20" s="202"/>
      <c r="E20" s="213"/>
      <c r="F20" s="201"/>
      <c r="G20" s="201"/>
      <c r="H20" s="201"/>
      <c r="I20" s="201"/>
      <c r="J20" s="36" t="str">
        <f>IF(AND('Mapa final'!$Y$36="Alta",'Mapa final'!$AA$36="Leve"),CONCATENATE("R5C",'Mapa final'!$O$36),"")</f>
        <v/>
      </c>
      <c r="K20" s="37" t="str">
        <f>IF(AND('Mapa final'!$Y$37="Alta",'Mapa final'!$AA$37="Leve"),CONCATENATE("R5C",'Mapa final'!$O$37),"")</f>
        <v/>
      </c>
      <c r="L20" s="37" t="str">
        <f>IF(AND('Mapa final'!$Y$38="Alta",'Mapa final'!$AA$38="Leve"),CONCATENATE("R5C",'Mapa final'!$O$38),"")</f>
        <v/>
      </c>
      <c r="M20" s="37" t="e">
        <f>IF(AND('Mapa final'!#REF!="Alta",'Mapa final'!#REF!="Leve"),CONCATENATE("R5C",'Mapa final'!#REF!),"")</f>
        <v>#REF!</v>
      </c>
      <c r="N20" s="37" t="e">
        <f>IF(AND('Mapa final'!#REF!="Alta",'Mapa final'!#REF!="Leve"),CONCATENATE("R5C",'Mapa final'!#REF!),"")</f>
        <v>#REF!</v>
      </c>
      <c r="O20" s="38" t="e">
        <f>IF(AND('Mapa final'!#REF!="Alta",'Mapa final'!#REF!="Leve"),CONCATENATE("R5C",'Mapa final'!#REF!),"")</f>
        <v>#REF!</v>
      </c>
      <c r="P20" s="36" t="str">
        <f>IF(AND('Mapa final'!$Y$36="Alta",'Mapa final'!$AA$36="Menor"),CONCATENATE("R5C",'Mapa final'!$O$36),"")</f>
        <v/>
      </c>
      <c r="Q20" s="37" t="str">
        <f>IF(AND('Mapa final'!$Y$37="Alta",'Mapa final'!$AA$37="Menor"),CONCATENATE("R5C",'Mapa final'!$O$37),"")</f>
        <v/>
      </c>
      <c r="R20" s="37" t="str">
        <f>IF(AND('Mapa final'!$Y$38="Alta",'Mapa final'!$AA$38="Menor"),CONCATENATE("R5C",'Mapa final'!$O$38),"")</f>
        <v/>
      </c>
      <c r="S20" s="37" t="e">
        <f>IF(AND('Mapa final'!#REF!="Alta",'Mapa final'!#REF!="Menor"),CONCATENATE("R5C",'Mapa final'!#REF!),"")</f>
        <v>#REF!</v>
      </c>
      <c r="T20" s="37" t="e">
        <f>IF(AND('Mapa final'!#REF!="Alta",'Mapa final'!#REF!="Menor"),CONCATENATE("R5C",'Mapa final'!#REF!),"")</f>
        <v>#REF!</v>
      </c>
      <c r="U20" s="38" t="e">
        <f>IF(AND('Mapa final'!#REF!="Alta",'Mapa final'!#REF!="Menor"),CONCATENATE("R5C",'Mapa final'!#REF!),"")</f>
        <v>#REF!</v>
      </c>
      <c r="V20" s="21" t="str">
        <f>IF(AND('Mapa final'!$Y$36="Alta",'Mapa final'!$AA$36="Moderado"),CONCATENATE("R5C",'Mapa final'!$O$36),"")</f>
        <v/>
      </c>
      <c r="W20" s="22" t="str">
        <f>IF(AND('Mapa final'!$Y$37="Alta",'Mapa final'!$AA$37="Moderado"),CONCATENATE("R5C",'Mapa final'!$O$37),"")</f>
        <v/>
      </c>
      <c r="X20" s="22" t="str">
        <f>IF(AND('Mapa final'!$Y$38="Alta",'Mapa final'!$AA$38="Moderado"),CONCATENATE("R5C",'Mapa final'!$O$38),"")</f>
        <v/>
      </c>
      <c r="Y20" s="22" t="e">
        <f>IF(AND('Mapa final'!#REF!="Alta",'Mapa final'!#REF!="Moderado"),CONCATENATE("R5C",'Mapa final'!#REF!),"")</f>
        <v>#REF!</v>
      </c>
      <c r="Z20" s="22" t="e">
        <f>IF(AND('Mapa final'!#REF!="Alta",'Mapa final'!#REF!="Moderado"),CONCATENATE("R5C",'Mapa final'!#REF!),"")</f>
        <v>#REF!</v>
      </c>
      <c r="AA20" s="23" t="e">
        <f>IF(AND('Mapa final'!#REF!="Alta",'Mapa final'!#REF!="Moderado"),CONCATENATE("R5C",'Mapa final'!#REF!),"")</f>
        <v>#REF!</v>
      </c>
      <c r="AB20" s="21" t="str">
        <f>IF(AND('Mapa final'!$Y$36="Alta",'Mapa final'!$AA$36="Mayor"),CONCATENATE("R5C",'Mapa final'!$O$36),"")</f>
        <v/>
      </c>
      <c r="AC20" s="22" t="str">
        <f>IF(AND('Mapa final'!$Y$37="Alta",'Mapa final'!$AA$37="Mayor"),CONCATENATE("R5C",'Mapa final'!$O$37),"")</f>
        <v/>
      </c>
      <c r="AD20" s="22" t="str">
        <f>IF(AND('Mapa final'!$Y$38="Alta",'Mapa final'!$AA$38="Mayor"),CONCATENATE("R5C",'Mapa final'!$O$38),"")</f>
        <v/>
      </c>
      <c r="AE20" s="22" t="e">
        <f>IF(AND('Mapa final'!#REF!="Alta",'Mapa final'!#REF!="Mayor"),CONCATENATE("R5C",'Mapa final'!#REF!),"")</f>
        <v>#REF!</v>
      </c>
      <c r="AF20" s="22" t="e">
        <f>IF(AND('Mapa final'!#REF!="Alta",'Mapa final'!#REF!="Mayor"),CONCATENATE("R5C",'Mapa final'!#REF!),"")</f>
        <v>#REF!</v>
      </c>
      <c r="AG20" s="23" t="e">
        <f>IF(AND('Mapa final'!#REF!="Alta",'Mapa final'!#REF!="Mayor"),CONCATENATE("R5C",'Mapa final'!#REF!),"")</f>
        <v>#REF!</v>
      </c>
      <c r="AH20" s="24" t="str">
        <f>IF(AND('Mapa final'!$Y$36="Alta",'Mapa final'!$AA$36="Catastrófico"),CONCATENATE("R5C",'Mapa final'!$O$36),"")</f>
        <v/>
      </c>
      <c r="AI20" s="25" t="str">
        <f>IF(AND('Mapa final'!$Y$37="Alta",'Mapa final'!$AA$37="Catastrófico"),CONCATENATE("R5C",'Mapa final'!$O$37),"")</f>
        <v/>
      </c>
      <c r="AJ20" s="25" t="str">
        <f>IF(AND('Mapa final'!$Y$38="Alta",'Mapa final'!$AA$38="Catastrófico"),CONCATENATE("R5C",'Mapa final'!$O$38),"")</f>
        <v/>
      </c>
      <c r="AK20" s="25" t="e">
        <f>IF(AND('Mapa final'!#REF!="Alta",'Mapa final'!#REF!="Catastrófico"),CONCATENATE("R5C",'Mapa final'!#REF!),"")</f>
        <v>#REF!</v>
      </c>
      <c r="AL20" s="25" t="e">
        <f>IF(AND('Mapa final'!#REF!="Alta",'Mapa final'!#REF!="Catastrófico"),CONCATENATE("R5C",'Mapa final'!#REF!),"")</f>
        <v>#REF!</v>
      </c>
      <c r="AM20" s="26" t="e">
        <f>IF(AND('Mapa final'!#REF!="Alta",'Mapa final'!#REF!="Catastrófico"),CONCATENATE("R5C",'Mapa final'!#REF!),"")</f>
        <v>#REF!</v>
      </c>
      <c r="AN20" s="1"/>
      <c r="AO20" s="261"/>
      <c r="AP20" s="201"/>
      <c r="AQ20" s="201"/>
      <c r="AR20" s="201"/>
      <c r="AS20" s="201"/>
      <c r="AT20" s="262"/>
    </row>
    <row r="21" spans="2:46" ht="15" customHeight="1" x14ac:dyDescent="0.25">
      <c r="B21" s="278"/>
      <c r="C21" s="201"/>
      <c r="D21" s="202"/>
      <c r="E21" s="213"/>
      <c r="F21" s="201"/>
      <c r="G21" s="201"/>
      <c r="H21" s="201"/>
      <c r="I21" s="201"/>
      <c r="J21" s="36" t="str">
        <f>IF(AND('Mapa final'!$Y$41="Alta",'Mapa final'!$AA$41="Leve"),CONCATENATE("R6C",'Mapa final'!$O$41),"")</f>
        <v/>
      </c>
      <c r="K21" s="37" t="str">
        <f>IF(AND('Mapa final'!$Y$42="Alta",'Mapa final'!$AA$42="Leve"),CONCATENATE("R6C",'Mapa final'!$O$42),"")</f>
        <v/>
      </c>
      <c r="L21" s="37" t="str">
        <f>IF(AND('Mapa final'!$Y$43="Alta",'Mapa final'!$AA$43="Leve"),CONCATENATE("R6C",'Mapa final'!$O$43),"")</f>
        <v/>
      </c>
      <c r="M21" s="37" t="e">
        <f>IF(AND('Mapa final'!#REF!="Alta",'Mapa final'!#REF!="Leve"),CONCATENATE("R6C",'Mapa final'!#REF!),"")</f>
        <v>#REF!</v>
      </c>
      <c r="N21" s="37" t="e">
        <f>IF(AND('Mapa final'!#REF!="Alta",'Mapa final'!#REF!="Leve"),CONCATENATE("R6C",'Mapa final'!#REF!),"")</f>
        <v>#REF!</v>
      </c>
      <c r="O21" s="38" t="e">
        <f>IF(AND('Mapa final'!#REF!="Alta",'Mapa final'!#REF!="Leve"),CONCATENATE("R6C",'Mapa final'!#REF!),"")</f>
        <v>#REF!</v>
      </c>
      <c r="P21" s="36" t="str">
        <f>IF(AND('Mapa final'!$Y$41="Alta",'Mapa final'!$AA$41="Menor"),CONCATENATE("R6C",'Mapa final'!$O$41),"")</f>
        <v/>
      </c>
      <c r="Q21" s="37" t="str">
        <f>IF(AND('Mapa final'!$Y$42="Alta",'Mapa final'!$AA$42="Menor"),CONCATENATE("R6C",'Mapa final'!$O$42),"")</f>
        <v/>
      </c>
      <c r="R21" s="37" t="str">
        <f>IF(AND('Mapa final'!$Y$43="Alta",'Mapa final'!$AA$43="Menor"),CONCATENATE("R6C",'Mapa final'!$O$43),"")</f>
        <v/>
      </c>
      <c r="S21" s="37" t="e">
        <f>IF(AND('Mapa final'!#REF!="Alta",'Mapa final'!#REF!="Menor"),CONCATENATE("R6C",'Mapa final'!#REF!),"")</f>
        <v>#REF!</v>
      </c>
      <c r="T21" s="37" t="e">
        <f>IF(AND('Mapa final'!#REF!="Alta",'Mapa final'!#REF!="Menor"),CONCATENATE("R6C",'Mapa final'!#REF!),"")</f>
        <v>#REF!</v>
      </c>
      <c r="U21" s="38" t="e">
        <f>IF(AND('Mapa final'!#REF!="Alta",'Mapa final'!#REF!="Menor"),CONCATENATE("R6C",'Mapa final'!#REF!),"")</f>
        <v>#REF!</v>
      </c>
      <c r="V21" s="21" t="str">
        <f>IF(AND('Mapa final'!$Y$41="Alta",'Mapa final'!$AA$41="Moderado"),CONCATENATE("R6C",'Mapa final'!$O$41),"")</f>
        <v/>
      </c>
      <c r="W21" s="22" t="str">
        <f>IF(AND('Mapa final'!$Y$42="Alta",'Mapa final'!$AA$42="Moderado"),CONCATENATE("R6C",'Mapa final'!$O$42),"")</f>
        <v/>
      </c>
      <c r="X21" s="22" t="str">
        <f>IF(AND('Mapa final'!$Y$43="Alta",'Mapa final'!$AA$43="Moderado"),CONCATENATE("R6C",'Mapa final'!$O$43),"")</f>
        <v/>
      </c>
      <c r="Y21" s="22" t="e">
        <f>IF(AND('Mapa final'!#REF!="Alta",'Mapa final'!#REF!="Moderado"),CONCATENATE("R6C",'Mapa final'!#REF!),"")</f>
        <v>#REF!</v>
      </c>
      <c r="Z21" s="22" t="e">
        <f>IF(AND('Mapa final'!#REF!="Alta",'Mapa final'!#REF!="Moderado"),CONCATENATE("R6C",'Mapa final'!#REF!),"")</f>
        <v>#REF!</v>
      </c>
      <c r="AA21" s="23" t="e">
        <f>IF(AND('Mapa final'!#REF!="Alta",'Mapa final'!#REF!="Moderado"),CONCATENATE("R6C",'Mapa final'!#REF!),"")</f>
        <v>#REF!</v>
      </c>
      <c r="AB21" s="21" t="str">
        <f>IF(AND('Mapa final'!$Y$41="Alta",'Mapa final'!$AA$41="Mayor"),CONCATENATE("R6C",'Mapa final'!$O$41),"")</f>
        <v/>
      </c>
      <c r="AC21" s="22" t="str">
        <f>IF(AND('Mapa final'!$Y$42="Alta",'Mapa final'!$AA$42="Mayor"),CONCATENATE("R6C",'Mapa final'!$O$42),"")</f>
        <v/>
      </c>
      <c r="AD21" s="22" t="str">
        <f>IF(AND('Mapa final'!$Y$43="Alta",'Mapa final'!$AA$43="Mayor"),CONCATENATE("R6C",'Mapa final'!$O$43),"")</f>
        <v/>
      </c>
      <c r="AE21" s="22" t="e">
        <f>IF(AND('Mapa final'!#REF!="Alta",'Mapa final'!#REF!="Mayor"),CONCATENATE("R6C",'Mapa final'!#REF!),"")</f>
        <v>#REF!</v>
      </c>
      <c r="AF21" s="22" t="e">
        <f>IF(AND('Mapa final'!#REF!="Alta",'Mapa final'!#REF!="Mayor"),CONCATENATE("R6C",'Mapa final'!#REF!),"")</f>
        <v>#REF!</v>
      </c>
      <c r="AG21" s="23" t="e">
        <f>IF(AND('Mapa final'!#REF!="Alta",'Mapa final'!#REF!="Mayor"),CONCATENATE("R6C",'Mapa final'!#REF!),"")</f>
        <v>#REF!</v>
      </c>
      <c r="AH21" s="24" t="str">
        <f>IF(AND('Mapa final'!$Y$41="Alta",'Mapa final'!$AA$41="Catastrófico"),CONCATENATE("R6C",'Mapa final'!$O$41),"")</f>
        <v/>
      </c>
      <c r="AI21" s="25" t="str">
        <f>IF(AND('Mapa final'!$Y$42="Alta",'Mapa final'!$AA$42="Catastrófico"),CONCATENATE("R6C",'Mapa final'!$O$42),"")</f>
        <v/>
      </c>
      <c r="AJ21" s="25" t="str">
        <f>IF(AND('Mapa final'!$Y$43="Alta",'Mapa final'!$AA$43="Catastrófico"),CONCATENATE("R6C",'Mapa final'!$O$43),"")</f>
        <v/>
      </c>
      <c r="AK21" s="25" t="e">
        <f>IF(AND('Mapa final'!#REF!="Alta",'Mapa final'!#REF!="Catastrófico"),CONCATENATE("R6C",'Mapa final'!#REF!),"")</f>
        <v>#REF!</v>
      </c>
      <c r="AL21" s="25" t="e">
        <f>IF(AND('Mapa final'!#REF!="Alta",'Mapa final'!#REF!="Catastrófico"),CONCATENATE("R6C",'Mapa final'!#REF!),"")</f>
        <v>#REF!</v>
      </c>
      <c r="AM21" s="26" t="e">
        <f>IF(AND('Mapa final'!#REF!="Alta",'Mapa final'!#REF!="Catastrófico"),CONCATENATE("R6C",'Mapa final'!#REF!),"")</f>
        <v>#REF!</v>
      </c>
      <c r="AN21" s="1"/>
      <c r="AO21" s="261"/>
      <c r="AP21" s="201"/>
      <c r="AQ21" s="201"/>
      <c r="AR21" s="201"/>
      <c r="AS21" s="201"/>
      <c r="AT21" s="262"/>
    </row>
    <row r="22" spans="2:46" ht="15" customHeight="1" x14ac:dyDescent="0.25">
      <c r="B22" s="278"/>
      <c r="C22" s="201"/>
      <c r="D22" s="202"/>
      <c r="E22" s="213"/>
      <c r="F22" s="201"/>
      <c r="G22" s="201"/>
      <c r="H22" s="201"/>
      <c r="I22" s="201"/>
      <c r="J22" s="36" t="e">
        <f>IF(AND('Mapa final'!#REF!="Alta",'Mapa final'!#REF!="Leve"),CONCATENATE("R7C",'Mapa final'!#REF!),"")</f>
        <v>#REF!</v>
      </c>
      <c r="K22" s="37" t="e">
        <f>IF(AND('Mapa final'!#REF!="Alta",'Mapa final'!#REF!="Leve"),CONCATENATE("R7C",'Mapa final'!#REF!),"")</f>
        <v>#REF!</v>
      </c>
      <c r="L22" s="37" t="e">
        <f>IF(AND('Mapa final'!#REF!="Alta",'Mapa final'!#REF!="Leve"),CONCATENATE("R7C",'Mapa final'!#REF!),"")</f>
        <v>#REF!</v>
      </c>
      <c r="M22" s="37" t="e">
        <f>IF(AND('Mapa final'!#REF!="Alta",'Mapa final'!#REF!="Leve"),CONCATENATE("R7C",'Mapa final'!#REF!),"")</f>
        <v>#REF!</v>
      </c>
      <c r="N22" s="37" t="e">
        <f>IF(AND('Mapa final'!#REF!="Alta",'Mapa final'!#REF!="Leve"),CONCATENATE("R7C",'Mapa final'!#REF!),"")</f>
        <v>#REF!</v>
      </c>
      <c r="O22" s="38" t="e">
        <f>IF(AND('Mapa final'!#REF!="Alta",'Mapa final'!#REF!="Leve"),CONCATENATE("R7C",'Mapa final'!#REF!),"")</f>
        <v>#REF!</v>
      </c>
      <c r="P22" s="36" t="e">
        <f>IF(AND('Mapa final'!#REF!="Alta",'Mapa final'!#REF!="Menor"),CONCATENATE("R7C",'Mapa final'!#REF!),"")</f>
        <v>#REF!</v>
      </c>
      <c r="Q22" s="37" t="e">
        <f>IF(AND('Mapa final'!#REF!="Alta",'Mapa final'!#REF!="Menor"),CONCATENATE("R7C",'Mapa final'!#REF!),"")</f>
        <v>#REF!</v>
      </c>
      <c r="R22" s="37" t="e">
        <f>IF(AND('Mapa final'!#REF!="Alta",'Mapa final'!#REF!="Menor"),CONCATENATE("R7C",'Mapa final'!#REF!),"")</f>
        <v>#REF!</v>
      </c>
      <c r="S22" s="37" t="e">
        <f>IF(AND('Mapa final'!#REF!="Alta",'Mapa final'!#REF!="Menor"),CONCATENATE("R7C",'Mapa final'!#REF!),"")</f>
        <v>#REF!</v>
      </c>
      <c r="T22" s="37" t="e">
        <f>IF(AND('Mapa final'!#REF!="Alta",'Mapa final'!#REF!="Menor"),CONCATENATE("R7C",'Mapa final'!#REF!),"")</f>
        <v>#REF!</v>
      </c>
      <c r="U22" s="38" t="e">
        <f>IF(AND('Mapa final'!#REF!="Alta",'Mapa final'!#REF!="Menor"),CONCATENATE("R7C",'Mapa final'!#REF!),"")</f>
        <v>#REF!</v>
      </c>
      <c r="V22" s="21" t="e">
        <f>IF(AND('Mapa final'!#REF!="Alta",'Mapa final'!#REF!="Moderado"),CONCATENATE("R7C",'Mapa final'!#REF!),"")</f>
        <v>#REF!</v>
      </c>
      <c r="W22" s="22" t="e">
        <f>IF(AND('Mapa final'!#REF!="Alta",'Mapa final'!#REF!="Moderado"),CONCATENATE("R7C",'Mapa final'!#REF!),"")</f>
        <v>#REF!</v>
      </c>
      <c r="X22" s="22" t="e">
        <f>IF(AND('Mapa final'!#REF!="Alta",'Mapa final'!#REF!="Moderado"),CONCATENATE("R7C",'Mapa final'!#REF!),"")</f>
        <v>#REF!</v>
      </c>
      <c r="Y22" s="22" t="e">
        <f>IF(AND('Mapa final'!#REF!="Alta",'Mapa final'!#REF!="Moderado"),CONCATENATE("R7C",'Mapa final'!#REF!),"")</f>
        <v>#REF!</v>
      </c>
      <c r="Z22" s="22" t="e">
        <f>IF(AND('Mapa final'!#REF!="Alta",'Mapa final'!#REF!="Moderado"),CONCATENATE("R7C",'Mapa final'!#REF!),"")</f>
        <v>#REF!</v>
      </c>
      <c r="AA22" s="23" t="e">
        <f>IF(AND('Mapa final'!#REF!="Alta",'Mapa final'!#REF!="Moderado"),CONCATENATE("R7C",'Mapa final'!#REF!),"")</f>
        <v>#REF!</v>
      </c>
      <c r="AB22" s="21" t="e">
        <f>IF(AND('Mapa final'!#REF!="Alta",'Mapa final'!#REF!="Mayor"),CONCATENATE("R7C",'Mapa final'!#REF!),"")</f>
        <v>#REF!</v>
      </c>
      <c r="AC22" s="22" t="e">
        <f>IF(AND('Mapa final'!#REF!="Alta",'Mapa final'!#REF!="Mayor"),CONCATENATE("R7C",'Mapa final'!#REF!),"")</f>
        <v>#REF!</v>
      </c>
      <c r="AD22" s="22" t="e">
        <f>IF(AND('Mapa final'!#REF!="Alta",'Mapa final'!#REF!="Mayor"),CONCATENATE("R7C",'Mapa final'!#REF!),"")</f>
        <v>#REF!</v>
      </c>
      <c r="AE22" s="22" t="e">
        <f>IF(AND('Mapa final'!#REF!="Alta",'Mapa final'!#REF!="Mayor"),CONCATENATE("R7C",'Mapa final'!#REF!),"")</f>
        <v>#REF!</v>
      </c>
      <c r="AF22" s="22" t="e">
        <f>IF(AND('Mapa final'!#REF!="Alta",'Mapa final'!#REF!="Mayor"),CONCATENATE("R7C",'Mapa final'!#REF!),"")</f>
        <v>#REF!</v>
      </c>
      <c r="AG22" s="23" t="e">
        <f>IF(AND('Mapa final'!#REF!="Alta",'Mapa final'!#REF!="Mayor"),CONCATENATE("R7C",'Mapa final'!#REF!),"")</f>
        <v>#REF!</v>
      </c>
      <c r="AH22" s="24" t="e">
        <f>IF(AND('Mapa final'!#REF!="Alta",'Mapa final'!#REF!="Catastrófico"),CONCATENATE("R7C",'Mapa final'!#REF!),"")</f>
        <v>#REF!</v>
      </c>
      <c r="AI22" s="25" t="e">
        <f>IF(AND('Mapa final'!#REF!="Alta",'Mapa final'!#REF!="Catastrófico"),CONCATENATE("R7C",'Mapa final'!#REF!),"")</f>
        <v>#REF!</v>
      </c>
      <c r="AJ22" s="25" t="e">
        <f>IF(AND('Mapa final'!#REF!="Alta",'Mapa final'!#REF!="Catastrófico"),CONCATENATE("R7C",'Mapa final'!#REF!),"")</f>
        <v>#REF!</v>
      </c>
      <c r="AK22" s="25" t="e">
        <f>IF(AND('Mapa final'!#REF!="Alta",'Mapa final'!#REF!="Catastrófico"),CONCATENATE("R7C",'Mapa final'!#REF!),"")</f>
        <v>#REF!</v>
      </c>
      <c r="AL22" s="25" t="e">
        <f>IF(AND('Mapa final'!#REF!="Alta",'Mapa final'!#REF!="Catastrófico"),CONCATENATE("R7C",'Mapa final'!#REF!),"")</f>
        <v>#REF!</v>
      </c>
      <c r="AM22" s="26" t="e">
        <f>IF(AND('Mapa final'!#REF!="Alta",'Mapa final'!#REF!="Catastrófico"),CONCATENATE("R7C",'Mapa final'!#REF!),"")</f>
        <v>#REF!</v>
      </c>
      <c r="AN22" s="1"/>
      <c r="AO22" s="261"/>
      <c r="AP22" s="201"/>
      <c r="AQ22" s="201"/>
      <c r="AR22" s="201"/>
      <c r="AS22" s="201"/>
      <c r="AT22" s="262"/>
    </row>
    <row r="23" spans="2:46" ht="15" customHeight="1" x14ac:dyDescent="0.25">
      <c r="B23" s="278"/>
      <c r="C23" s="201"/>
      <c r="D23" s="202"/>
      <c r="E23" s="213"/>
      <c r="F23" s="201"/>
      <c r="G23" s="201"/>
      <c r="H23" s="201"/>
      <c r="I23" s="201"/>
      <c r="J23" s="36" t="e">
        <f>IF(AND('Mapa final'!#REF!="Alta",'Mapa final'!#REF!="Leve"),CONCATENATE("R8C",'Mapa final'!#REF!),"")</f>
        <v>#REF!</v>
      </c>
      <c r="K23" s="37" t="e">
        <f>IF(AND('Mapa final'!#REF!="Alta",'Mapa final'!#REF!="Leve"),CONCATENATE("R8C",'Mapa final'!#REF!),"")</f>
        <v>#REF!</v>
      </c>
      <c r="L23" s="37" t="e">
        <f>IF(AND('Mapa final'!#REF!="Alta",'Mapa final'!#REF!="Leve"),CONCATENATE("R8C",'Mapa final'!#REF!),"")</f>
        <v>#REF!</v>
      </c>
      <c r="M23" s="37" t="e">
        <f>IF(AND('Mapa final'!#REF!="Alta",'Mapa final'!#REF!="Leve"),CONCATENATE("R8C",'Mapa final'!#REF!),"")</f>
        <v>#REF!</v>
      </c>
      <c r="N23" s="37" t="e">
        <f>IF(AND('Mapa final'!#REF!="Alta",'Mapa final'!#REF!="Leve"),CONCATENATE("R8C",'Mapa final'!#REF!),"")</f>
        <v>#REF!</v>
      </c>
      <c r="O23" s="38" t="e">
        <f>IF(AND('Mapa final'!#REF!="Alta",'Mapa final'!#REF!="Leve"),CONCATENATE("R8C",'Mapa final'!#REF!),"")</f>
        <v>#REF!</v>
      </c>
      <c r="P23" s="36" t="e">
        <f>IF(AND('Mapa final'!#REF!="Alta",'Mapa final'!#REF!="Menor"),CONCATENATE("R8C",'Mapa final'!#REF!),"")</f>
        <v>#REF!</v>
      </c>
      <c r="Q23" s="37" t="e">
        <f>IF(AND('Mapa final'!#REF!="Alta",'Mapa final'!#REF!="Menor"),CONCATENATE("R8C",'Mapa final'!#REF!),"")</f>
        <v>#REF!</v>
      </c>
      <c r="R23" s="37" t="e">
        <f>IF(AND('Mapa final'!#REF!="Alta",'Mapa final'!#REF!="Menor"),CONCATENATE("R8C",'Mapa final'!#REF!),"")</f>
        <v>#REF!</v>
      </c>
      <c r="S23" s="37" t="e">
        <f>IF(AND('Mapa final'!#REF!="Alta",'Mapa final'!#REF!="Menor"),CONCATENATE("R8C",'Mapa final'!#REF!),"")</f>
        <v>#REF!</v>
      </c>
      <c r="T23" s="37" t="e">
        <f>IF(AND('Mapa final'!#REF!="Alta",'Mapa final'!#REF!="Menor"),CONCATENATE("R8C",'Mapa final'!#REF!),"")</f>
        <v>#REF!</v>
      </c>
      <c r="U23" s="38" t="e">
        <f>IF(AND('Mapa final'!#REF!="Alta",'Mapa final'!#REF!="Menor"),CONCATENATE("R8C",'Mapa final'!#REF!),"")</f>
        <v>#REF!</v>
      </c>
      <c r="V23" s="21" t="e">
        <f>IF(AND('Mapa final'!#REF!="Alta",'Mapa final'!#REF!="Moderado"),CONCATENATE("R8C",'Mapa final'!#REF!),"")</f>
        <v>#REF!</v>
      </c>
      <c r="W23" s="22" t="e">
        <f>IF(AND('Mapa final'!#REF!="Alta",'Mapa final'!#REF!="Moderado"),CONCATENATE("R8C",'Mapa final'!#REF!),"")</f>
        <v>#REF!</v>
      </c>
      <c r="X23" s="22" t="e">
        <f>IF(AND('Mapa final'!#REF!="Alta",'Mapa final'!#REF!="Moderado"),CONCATENATE("R8C",'Mapa final'!#REF!),"")</f>
        <v>#REF!</v>
      </c>
      <c r="Y23" s="22" t="e">
        <f>IF(AND('Mapa final'!#REF!="Alta",'Mapa final'!#REF!="Moderado"),CONCATENATE("R8C",'Mapa final'!#REF!),"")</f>
        <v>#REF!</v>
      </c>
      <c r="Z23" s="22" t="e">
        <f>IF(AND('Mapa final'!#REF!="Alta",'Mapa final'!#REF!="Moderado"),CONCATENATE("R8C",'Mapa final'!#REF!),"")</f>
        <v>#REF!</v>
      </c>
      <c r="AA23" s="23" t="e">
        <f>IF(AND('Mapa final'!#REF!="Alta",'Mapa final'!#REF!="Moderado"),CONCATENATE("R8C",'Mapa final'!#REF!),"")</f>
        <v>#REF!</v>
      </c>
      <c r="AB23" s="21" t="e">
        <f>IF(AND('Mapa final'!#REF!="Alta",'Mapa final'!#REF!="Mayor"),CONCATENATE("R8C",'Mapa final'!#REF!),"")</f>
        <v>#REF!</v>
      </c>
      <c r="AC23" s="22" t="e">
        <f>IF(AND('Mapa final'!#REF!="Alta",'Mapa final'!#REF!="Mayor"),CONCATENATE("R8C",'Mapa final'!#REF!),"")</f>
        <v>#REF!</v>
      </c>
      <c r="AD23" s="22" t="e">
        <f>IF(AND('Mapa final'!#REF!="Alta",'Mapa final'!#REF!="Mayor"),CONCATENATE("R8C",'Mapa final'!#REF!),"")</f>
        <v>#REF!</v>
      </c>
      <c r="AE23" s="22" t="e">
        <f>IF(AND('Mapa final'!#REF!="Alta",'Mapa final'!#REF!="Mayor"),CONCATENATE("R8C",'Mapa final'!#REF!),"")</f>
        <v>#REF!</v>
      </c>
      <c r="AF23" s="22" t="e">
        <f>IF(AND('Mapa final'!#REF!="Alta",'Mapa final'!#REF!="Mayor"),CONCATENATE("R8C",'Mapa final'!#REF!),"")</f>
        <v>#REF!</v>
      </c>
      <c r="AG23" s="23" t="e">
        <f>IF(AND('Mapa final'!#REF!="Alta",'Mapa final'!#REF!="Mayor"),CONCATENATE("R8C",'Mapa final'!#REF!),"")</f>
        <v>#REF!</v>
      </c>
      <c r="AH23" s="24" t="e">
        <f>IF(AND('Mapa final'!#REF!="Alta",'Mapa final'!#REF!="Catastrófico"),CONCATENATE("R8C",'Mapa final'!#REF!),"")</f>
        <v>#REF!</v>
      </c>
      <c r="AI23" s="25" t="e">
        <f>IF(AND('Mapa final'!#REF!="Alta",'Mapa final'!#REF!="Catastrófico"),CONCATENATE("R8C",'Mapa final'!#REF!),"")</f>
        <v>#REF!</v>
      </c>
      <c r="AJ23" s="25" t="e">
        <f>IF(AND('Mapa final'!#REF!="Alta",'Mapa final'!#REF!="Catastrófico"),CONCATENATE("R8C",'Mapa final'!#REF!),"")</f>
        <v>#REF!</v>
      </c>
      <c r="AK23" s="25" t="e">
        <f>IF(AND('Mapa final'!#REF!="Alta",'Mapa final'!#REF!="Catastrófico"),CONCATENATE("R8C",'Mapa final'!#REF!),"")</f>
        <v>#REF!</v>
      </c>
      <c r="AL23" s="25" t="e">
        <f>IF(AND('Mapa final'!#REF!="Alta",'Mapa final'!#REF!="Catastrófico"),CONCATENATE("R8C",'Mapa final'!#REF!),"")</f>
        <v>#REF!</v>
      </c>
      <c r="AM23" s="26" t="e">
        <f>IF(AND('Mapa final'!#REF!="Alta",'Mapa final'!#REF!="Catastrófico"),CONCATENATE("R8C",'Mapa final'!#REF!),"")</f>
        <v>#REF!</v>
      </c>
      <c r="AN23" s="1"/>
      <c r="AO23" s="261"/>
      <c r="AP23" s="201"/>
      <c r="AQ23" s="201"/>
      <c r="AR23" s="201"/>
      <c r="AS23" s="201"/>
      <c r="AT23" s="262"/>
    </row>
    <row r="24" spans="2:46" ht="15" customHeight="1" x14ac:dyDescent="0.25">
      <c r="B24" s="278"/>
      <c r="C24" s="201"/>
      <c r="D24" s="202"/>
      <c r="E24" s="213"/>
      <c r="F24" s="201"/>
      <c r="G24" s="201"/>
      <c r="H24" s="201"/>
      <c r="I24" s="201"/>
      <c r="J24" s="36" t="e">
        <f>IF(AND('Mapa final'!#REF!="Alta",'Mapa final'!#REF!="Leve"),CONCATENATE("R9C",'Mapa final'!#REF!),"")</f>
        <v>#REF!</v>
      </c>
      <c r="K24" s="37" t="e">
        <f>IF(AND('Mapa final'!#REF!="Alta",'Mapa final'!#REF!="Leve"),CONCATENATE("R9C",'Mapa final'!#REF!),"")</f>
        <v>#REF!</v>
      </c>
      <c r="L24" s="37" t="e">
        <f>IF(AND('Mapa final'!#REF!="Alta",'Mapa final'!#REF!="Leve"),CONCATENATE("R9C",'Mapa final'!#REF!),"")</f>
        <v>#REF!</v>
      </c>
      <c r="M24" s="37" t="e">
        <f>IF(AND('Mapa final'!#REF!="Alta",'Mapa final'!#REF!="Leve"),CONCATENATE("R9C",'Mapa final'!#REF!),"")</f>
        <v>#REF!</v>
      </c>
      <c r="N24" s="37" t="e">
        <f>IF(AND('Mapa final'!#REF!="Alta",'Mapa final'!#REF!="Leve"),CONCATENATE("R9C",'Mapa final'!#REF!),"")</f>
        <v>#REF!</v>
      </c>
      <c r="O24" s="38" t="e">
        <f>IF(AND('Mapa final'!#REF!="Alta",'Mapa final'!#REF!="Leve"),CONCATENATE("R9C",'Mapa final'!#REF!),"")</f>
        <v>#REF!</v>
      </c>
      <c r="P24" s="36" t="e">
        <f>IF(AND('Mapa final'!#REF!="Alta",'Mapa final'!#REF!="Menor"),CONCATENATE("R9C",'Mapa final'!#REF!),"")</f>
        <v>#REF!</v>
      </c>
      <c r="Q24" s="37" t="e">
        <f>IF(AND('Mapa final'!#REF!="Alta",'Mapa final'!#REF!="Menor"),CONCATENATE("R9C",'Mapa final'!#REF!),"")</f>
        <v>#REF!</v>
      </c>
      <c r="R24" s="37" t="e">
        <f>IF(AND('Mapa final'!#REF!="Alta",'Mapa final'!#REF!="Menor"),CONCATENATE("R9C",'Mapa final'!#REF!),"")</f>
        <v>#REF!</v>
      </c>
      <c r="S24" s="37" t="e">
        <f>IF(AND('Mapa final'!#REF!="Alta",'Mapa final'!#REF!="Menor"),CONCATENATE("R9C",'Mapa final'!#REF!),"")</f>
        <v>#REF!</v>
      </c>
      <c r="T24" s="37" t="e">
        <f>IF(AND('Mapa final'!#REF!="Alta",'Mapa final'!#REF!="Menor"),CONCATENATE("R9C",'Mapa final'!#REF!),"")</f>
        <v>#REF!</v>
      </c>
      <c r="U24" s="38" t="e">
        <f>IF(AND('Mapa final'!#REF!="Alta",'Mapa final'!#REF!="Menor"),CONCATENATE("R9C",'Mapa final'!#REF!),"")</f>
        <v>#REF!</v>
      </c>
      <c r="V24" s="21" t="e">
        <f>IF(AND('Mapa final'!#REF!="Alta",'Mapa final'!#REF!="Moderado"),CONCATENATE("R9C",'Mapa final'!#REF!),"")</f>
        <v>#REF!</v>
      </c>
      <c r="W24" s="22" t="e">
        <f>IF(AND('Mapa final'!#REF!="Alta",'Mapa final'!#REF!="Moderado"),CONCATENATE("R9C",'Mapa final'!#REF!),"")</f>
        <v>#REF!</v>
      </c>
      <c r="X24" s="22" t="e">
        <f>IF(AND('Mapa final'!#REF!="Alta",'Mapa final'!#REF!="Moderado"),CONCATENATE("R9C",'Mapa final'!#REF!),"")</f>
        <v>#REF!</v>
      </c>
      <c r="Y24" s="22" t="e">
        <f>IF(AND('Mapa final'!#REF!="Alta",'Mapa final'!#REF!="Moderado"),CONCATENATE("R9C",'Mapa final'!#REF!),"")</f>
        <v>#REF!</v>
      </c>
      <c r="Z24" s="22" t="e">
        <f>IF(AND('Mapa final'!#REF!="Alta",'Mapa final'!#REF!="Moderado"),CONCATENATE("R9C",'Mapa final'!#REF!),"")</f>
        <v>#REF!</v>
      </c>
      <c r="AA24" s="23" t="e">
        <f>IF(AND('Mapa final'!#REF!="Alta",'Mapa final'!#REF!="Moderado"),CONCATENATE("R9C",'Mapa final'!#REF!),"")</f>
        <v>#REF!</v>
      </c>
      <c r="AB24" s="21" t="e">
        <f>IF(AND('Mapa final'!#REF!="Alta",'Mapa final'!#REF!="Mayor"),CONCATENATE("R9C",'Mapa final'!#REF!),"")</f>
        <v>#REF!</v>
      </c>
      <c r="AC24" s="22" t="e">
        <f>IF(AND('Mapa final'!#REF!="Alta",'Mapa final'!#REF!="Mayor"),CONCATENATE("R9C",'Mapa final'!#REF!),"")</f>
        <v>#REF!</v>
      </c>
      <c r="AD24" s="22" t="e">
        <f>IF(AND('Mapa final'!#REF!="Alta",'Mapa final'!#REF!="Mayor"),CONCATENATE("R9C",'Mapa final'!#REF!),"")</f>
        <v>#REF!</v>
      </c>
      <c r="AE24" s="22" t="e">
        <f>IF(AND('Mapa final'!#REF!="Alta",'Mapa final'!#REF!="Mayor"),CONCATENATE("R9C",'Mapa final'!#REF!),"")</f>
        <v>#REF!</v>
      </c>
      <c r="AF24" s="22" t="e">
        <f>IF(AND('Mapa final'!#REF!="Alta",'Mapa final'!#REF!="Mayor"),CONCATENATE("R9C",'Mapa final'!#REF!),"")</f>
        <v>#REF!</v>
      </c>
      <c r="AG24" s="23" t="e">
        <f>IF(AND('Mapa final'!#REF!="Alta",'Mapa final'!#REF!="Mayor"),CONCATENATE("R9C",'Mapa final'!#REF!),"")</f>
        <v>#REF!</v>
      </c>
      <c r="AH24" s="24" t="e">
        <f>IF(AND('Mapa final'!#REF!="Alta",'Mapa final'!#REF!="Catastrófico"),CONCATENATE("R9C",'Mapa final'!#REF!),"")</f>
        <v>#REF!</v>
      </c>
      <c r="AI24" s="25" t="e">
        <f>IF(AND('Mapa final'!#REF!="Alta",'Mapa final'!#REF!="Catastrófico"),CONCATENATE("R9C",'Mapa final'!#REF!),"")</f>
        <v>#REF!</v>
      </c>
      <c r="AJ24" s="25" t="e">
        <f>IF(AND('Mapa final'!#REF!="Alta",'Mapa final'!#REF!="Catastrófico"),CONCATENATE("R9C",'Mapa final'!#REF!),"")</f>
        <v>#REF!</v>
      </c>
      <c r="AK24" s="25" t="e">
        <f>IF(AND('Mapa final'!#REF!="Alta",'Mapa final'!#REF!="Catastrófico"),CONCATENATE("R9C",'Mapa final'!#REF!),"")</f>
        <v>#REF!</v>
      </c>
      <c r="AL24" s="25" t="e">
        <f>IF(AND('Mapa final'!#REF!="Alta",'Mapa final'!#REF!="Catastrófico"),CONCATENATE("R9C",'Mapa final'!#REF!),"")</f>
        <v>#REF!</v>
      </c>
      <c r="AM24" s="26" t="e">
        <f>IF(AND('Mapa final'!#REF!="Alta",'Mapa final'!#REF!="Catastrófico"),CONCATENATE("R9C",'Mapa final'!#REF!),"")</f>
        <v>#REF!</v>
      </c>
      <c r="AN24" s="1"/>
      <c r="AO24" s="261"/>
      <c r="AP24" s="201"/>
      <c r="AQ24" s="201"/>
      <c r="AR24" s="201"/>
      <c r="AS24" s="201"/>
      <c r="AT24" s="262"/>
    </row>
    <row r="25" spans="2:46" ht="15.75" customHeight="1" x14ac:dyDescent="0.25">
      <c r="B25" s="278"/>
      <c r="C25" s="201"/>
      <c r="D25" s="202"/>
      <c r="E25" s="247"/>
      <c r="F25" s="271"/>
      <c r="G25" s="271"/>
      <c r="H25" s="271"/>
      <c r="I25" s="271"/>
      <c r="J25" s="39" t="e">
        <f>IF(AND('Mapa final'!#REF!="Alta",'Mapa final'!#REF!="Leve"),CONCATENATE("R10C",'Mapa final'!#REF!),"")</f>
        <v>#REF!</v>
      </c>
      <c r="K25" s="40" t="e">
        <f>IF(AND('Mapa final'!#REF!="Alta",'Mapa final'!#REF!="Leve"),CONCATENATE("R10C",'Mapa final'!#REF!),"")</f>
        <v>#REF!</v>
      </c>
      <c r="L25" s="40" t="e">
        <f>IF(AND('Mapa final'!#REF!="Alta",'Mapa final'!#REF!="Leve"),CONCATENATE("R10C",'Mapa final'!#REF!),"")</f>
        <v>#REF!</v>
      </c>
      <c r="M25" s="40" t="e">
        <f>IF(AND('Mapa final'!#REF!="Alta",'Mapa final'!#REF!="Leve"),CONCATENATE("R10C",'Mapa final'!#REF!),"")</f>
        <v>#REF!</v>
      </c>
      <c r="N25" s="40" t="e">
        <f>IF(AND('Mapa final'!#REF!="Alta",'Mapa final'!#REF!="Leve"),CONCATENATE("R10C",'Mapa final'!#REF!),"")</f>
        <v>#REF!</v>
      </c>
      <c r="O25" s="41" t="e">
        <f>IF(AND('Mapa final'!#REF!="Alta",'Mapa final'!#REF!="Leve"),CONCATENATE("R10C",'Mapa final'!#REF!),"")</f>
        <v>#REF!</v>
      </c>
      <c r="P25" s="39" t="e">
        <f>IF(AND('Mapa final'!#REF!="Alta",'Mapa final'!#REF!="Menor"),CONCATENATE("R10C",'Mapa final'!#REF!),"")</f>
        <v>#REF!</v>
      </c>
      <c r="Q25" s="40" t="e">
        <f>IF(AND('Mapa final'!#REF!="Alta",'Mapa final'!#REF!="Menor"),CONCATENATE("R10C",'Mapa final'!#REF!),"")</f>
        <v>#REF!</v>
      </c>
      <c r="R25" s="40" t="e">
        <f>IF(AND('Mapa final'!#REF!="Alta",'Mapa final'!#REF!="Menor"),CONCATENATE("R10C",'Mapa final'!#REF!),"")</f>
        <v>#REF!</v>
      </c>
      <c r="S25" s="40" t="e">
        <f>IF(AND('Mapa final'!#REF!="Alta",'Mapa final'!#REF!="Menor"),CONCATENATE("R10C",'Mapa final'!#REF!),"")</f>
        <v>#REF!</v>
      </c>
      <c r="T25" s="40" t="e">
        <f>IF(AND('Mapa final'!#REF!="Alta",'Mapa final'!#REF!="Menor"),CONCATENATE("R10C",'Mapa final'!#REF!),"")</f>
        <v>#REF!</v>
      </c>
      <c r="U25" s="41" t="e">
        <f>IF(AND('Mapa final'!#REF!="Alta",'Mapa final'!#REF!="Menor"),CONCATENATE("R10C",'Mapa final'!#REF!),"")</f>
        <v>#REF!</v>
      </c>
      <c r="V25" s="27" t="e">
        <f>IF(AND('Mapa final'!#REF!="Alta",'Mapa final'!#REF!="Moderado"),CONCATENATE("R10C",'Mapa final'!#REF!),"")</f>
        <v>#REF!</v>
      </c>
      <c r="W25" s="28" t="e">
        <f>IF(AND('Mapa final'!#REF!="Alta",'Mapa final'!#REF!="Moderado"),CONCATENATE("R10C",'Mapa final'!#REF!),"")</f>
        <v>#REF!</v>
      </c>
      <c r="X25" s="28" t="e">
        <f>IF(AND('Mapa final'!#REF!="Alta",'Mapa final'!#REF!="Moderado"),CONCATENATE("R10C",'Mapa final'!#REF!),"")</f>
        <v>#REF!</v>
      </c>
      <c r="Y25" s="28" t="e">
        <f>IF(AND('Mapa final'!#REF!="Alta",'Mapa final'!#REF!="Moderado"),CONCATENATE("R10C",'Mapa final'!#REF!),"")</f>
        <v>#REF!</v>
      </c>
      <c r="Z25" s="28" t="e">
        <f>IF(AND('Mapa final'!#REF!="Alta",'Mapa final'!#REF!="Moderado"),CONCATENATE("R10C",'Mapa final'!#REF!),"")</f>
        <v>#REF!</v>
      </c>
      <c r="AA25" s="29" t="e">
        <f>IF(AND('Mapa final'!#REF!="Alta",'Mapa final'!#REF!="Moderado"),CONCATENATE("R10C",'Mapa final'!#REF!),"")</f>
        <v>#REF!</v>
      </c>
      <c r="AB25" s="27" t="e">
        <f>IF(AND('Mapa final'!#REF!="Alta",'Mapa final'!#REF!="Mayor"),CONCATENATE("R10C",'Mapa final'!#REF!),"")</f>
        <v>#REF!</v>
      </c>
      <c r="AC25" s="28" t="e">
        <f>IF(AND('Mapa final'!#REF!="Alta",'Mapa final'!#REF!="Mayor"),CONCATENATE("R10C",'Mapa final'!#REF!),"")</f>
        <v>#REF!</v>
      </c>
      <c r="AD25" s="28" t="e">
        <f>IF(AND('Mapa final'!#REF!="Alta",'Mapa final'!#REF!="Mayor"),CONCATENATE("R10C",'Mapa final'!#REF!),"")</f>
        <v>#REF!</v>
      </c>
      <c r="AE25" s="28" t="e">
        <f>IF(AND('Mapa final'!#REF!="Alta",'Mapa final'!#REF!="Mayor"),CONCATENATE("R10C",'Mapa final'!#REF!),"")</f>
        <v>#REF!</v>
      </c>
      <c r="AF25" s="28" t="e">
        <f>IF(AND('Mapa final'!#REF!="Alta",'Mapa final'!#REF!="Mayor"),CONCATENATE("R10C",'Mapa final'!#REF!),"")</f>
        <v>#REF!</v>
      </c>
      <c r="AG25" s="29" t="e">
        <f>IF(AND('Mapa final'!#REF!="Alta",'Mapa final'!#REF!="Mayor"),CONCATENATE("R10C",'Mapa final'!#REF!),"")</f>
        <v>#REF!</v>
      </c>
      <c r="AH25" s="30" t="e">
        <f>IF(AND('Mapa final'!#REF!="Alta",'Mapa final'!#REF!="Catastrófico"),CONCATENATE("R10C",'Mapa final'!#REF!),"")</f>
        <v>#REF!</v>
      </c>
      <c r="AI25" s="31" t="e">
        <f>IF(AND('Mapa final'!#REF!="Alta",'Mapa final'!#REF!="Catastrófico"),CONCATENATE("R10C",'Mapa final'!#REF!),"")</f>
        <v>#REF!</v>
      </c>
      <c r="AJ25" s="31" t="e">
        <f>IF(AND('Mapa final'!#REF!="Alta",'Mapa final'!#REF!="Catastrófico"),CONCATENATE("R10C",'Mapa final'!#REF!),"")</f>
        <v>#REF!</v>
      </c>
      <c r="AK25" s="31" t="e">
        <f>IF(AND('Mapa final'!#REF!="Alta",'Mapa final'!#REF!="Catastrófico"),CONCATENATE("R10C",'Mapa final'!#REF!),"")</f>
        <v>#REF!</v>
      </c>
      <c r="AL25" s="31" t="e">
        <f>IF(AND('Mapa final'!#REF!="Alta",'Mapa final'!#REF!="Catastrófico"),CONCATENATE("R10C",'Mapa final'!#REF!),"")</f>
        <v>#REF!</v>
      </c>
      <c r="AM25" s="32" t="e">
        <f>IF(AND('Mapa final'!#REF!="Alta",'Mapa final'!#REF!="Catastrófico"),CONCATENATE("R10C",'Mapa final'!#REF!),"")</f>
        <v>#REF!</v>
      </c>
      <c r="AN25" s="1"/>
      <c r="AO25" s="263"/>
      <c r="AP25" s="264"/>
      <c r="AQ25" s="264"/>
      <c r="AR25" s="264"/>
      <c r="AS25" s="264"/>
      <c r="AT25" s="265"/>
    </row>
    <row r="26" spans="2:46" ht="15" customHeight="1" x14ac:dyDescent="0.25">
      <c r="B26" s="278"/>
      <c r="C26" s="201"/>
      <c r="D26" s="202"/>
      <c r="E26" s="286" t="s">
        <v>99</v>
      </c>
      <c r="F26" s="270"/>
      <c r="G26" s="270"/>
      <c r="H26" s="270"/>
      <c r="I26" s="252"/>
      <c r="J26" s="33" t="str">
        <f>IF(AND('Mapa final'!$Y$16="Media",'Mapa final'!$AA$16="Leve"),CONCATENATE("R1C",'Mapa final'!$O$16),"")</f>
        <v/>
      </c>
      <c r="K26" s="34" t="str">
        <f>IF(AND('Mapa final'!$Y$17="Media",'Mapa final'!$AA$17="Leve"),CONCATENATE("R1C",'Mapa final'!$O$17),"")</f>
        <v/>
      </c>
      <c r="L26" s="34" t="str">
        <f>IF(AND('Mapa final'!$Y$18="Media",'Mapa final'!$AA$18="Leve"),CONCATENATE("R1C",'Mapa final'!$O$18),"")</f>
        <v/>
      </c>
      <c r="M26" s="34" t="e">
        <f>IF(AND('Mapa final'!#REF!="Media",'Mapa final'!#REF!="Leve"),CONCATENATE("R1C",'Mapa final'!#REF!),"")</f>
        <v>#REF!</v>
      </c>
      <c r="N26" s="34" t="e">
        <f>IF(AND('Mapa final'!#REF!="Media",'Mapa final'!#REF!="Leve"),CONCATENATE("R1C",'Mapa final'!#REF!),"")</f>
        <v>#REF!</v>
      </c>
      <c r="O26" s="35" t="e">
        <f>IF(AND('Mapa final'!#REF!="Media",'Mapa final'!#REF!="Leve"),CONCATENATE("R1C",'Mapa final'!#REF!),"")</f>
        <v>#REF!</v>
      </c>
      <c r="P26" s="33" t="str">
        <f>IF(AND('Mapa final'!$Y$16="Media",'Mapa final'!$AA$16="Menor"),CONCATENATE("R1C",'Mapa final'!$O$16),"")</f>
        <v/>
      </c>
      <c r="Q26" s="34" t="str">
        <f>IF(AND('Mapa final'!$Y$17="Media",'Mapa final'!$AA$17="Menor"),CONCATENATE("R1C",'Mapa final'!$O$17),"")</f>
        <v/>
      </c>
      <c r="R26" s="34" t="str">
        <f>IF(AND('Mapa final'!$Y$18="Media",'Mapa final'!$AA$18="Menor"),CONCATENATE("R1C",'Mapa final'!$O$18),"")</f>
        <v/>
      </c>
      <c r="S26" s="34" t="e">
        <f>IF(AND('Mapa final'!#REF!="Media",'Mapa final'!#REF!="Menor"),CONCATENATE("R1C",'Mapa final'!#REF!),"")</f>
        <v>#REF!</v>
      </c>
      <c r="T26" s="34" t="e">
        <f>IF(AND('Mapa final'!#REF!="Media",'Mapa final'!#REF!="Menor"),CONCATENATE("R1C",'Mapa final'!#REF!),"")</f>
        <v>#REF!</v>
      </c>
      <c r="U26" s="35" t="e">
        <f>IF(AND('Mapa final'!#REF!="Media",'Mapa final'!#REF!="Menor"),CONCATENATE("R1C",'Mapa final'!#REF!),"")</f>
        <v>#REF!</v>
      </c>
      <c r="V26" s="33" t="str">
        <f>IF(AND('Mapa final'!$Y$16="Media",'Mapa final'!$AA$16="Moderado"),CONCATENATE("R1C",'Mapa final'!$O$16),"")</f>
        <v/>
      </c>
      <c r="W26" s="34" t="str">
        <f>IF(AND('Mapa final'!$Y$17="Media",'Mapa final'!$AA$17="Moderado"),CONCATENATE("R1C",'Mapa final'!$O$17),"")</f>
        <v/>
      </c>
      <c r="X26" s="34" t="str">
        <f>IF(AND('Mapa final'!$Y$18="Media",'Mapa final'!$AA$18="Moderado"),CONCATENATE("R1C",'Mapa final'!$O$18),"")</f>
        <v/>
      </c>
      <c r="Y26" s="34" t="e">
        <f>IF(AND('Mapa final'!#REF!="Media",'Mapa final'!#REF!="Moderado"),CONCATENATE("R1C",'Mapa final'!#REF!),"")</f>
        <v>#REF!</v>
      </c>
      <c r="Z26" s="34" t="e">
        <f>IF(AND('Mapa final'!#REF!="Media",'Mapa final'!#REF!="Moderado"),CONCATENATE("R1C",'Mapa final'!#REF!),"")</f>
        <v>#REF!</v>
      </c>
      <c r="AA26" s="35" t="e">
        <f>IF(AND('Mapa final'!#REF!="Media",'Mapa final'!#REF!="Moderado"),CONCATENATE("R1C",'Mapa final'!#REF!),"")</f>
        <v>#REF!</v>
      </c>
      <c r="AB26" s="15" t="str">
        <f>IF(AND('Mapa final'!$Y$16="Media",'Mapa final'!$AA$16="Mayor"),CONCATENATE("R1C",'Mapa final'!$O$16),"")</f>
        <v/>
      </c>
      <c r="AC26" s="16" t="str">
        <f>IF(AND('Mapa final'!$Y$17="Media",'Mapa final'!$AA$17="Mayor"),CONCATENATE("R1C",'Mapa final'!$O$17),"")</f>
        <v/>
      </c>
      <c r="AD26" s="16" t="str">
        <f>IF(AND('Mapa final'!$Y$18="Media",'Mapa final'!$AA$18="Mayor"),CONCATENATE("R1C",'Mapa final'!$O$18),"")</f>
        <v/>
      </c>
      <c r="AE26" s="16" t="e">
        <f>IF(AND('Mapa final'!#REF!="Media",'Mapa final'!#REF!="Mayor"),CONCATENATE("R1C",'Mapa final'!#REF!),"")</f>
        <v>#REF!</v>
      </c>
      <c r="AF26" s="16" t="e">
        <f>IF(AND('Mapa final'!#REF!="Media",'Mapa final'!#REF!="Mayor"),CONCATENATE("R1C",'Mapa final'!#REF!),"")</f>
        <v>#REF!</v>
      </c>
      <c r="AG26" s="17" t="e">
        <f>IF(AND('Mapa final'!#REF!="Media",'Mapa final'!#REF!="Mayor"),CONCATENATE("R1C",'Mapa final'!#REF!),"")</f>
        <v>#REF!</v>
      </c>
      <c r="AH26" s="18" t="str">
        <f>IF(AND('Mapa final'!$Y$16="Media",'Mapa final'!$AA$16="Catastrófico"),CONCATENATE("R1C",'Mapa final'!$O$16),"")</f>
        <v>R1C1</v>
      </c>
      <c r="AI26" s="19" t="str">
        <f>IF(AND('Mapa final'!$Y$17="Media",'Mapa final'!$AA$17="Catastrófico"),CONCATENATE("R1C",'Mapa final'!$O$17),"")</f>
        <v/>
      </c>
      <c r="AJ26" s="19" t="str">
        <f>IF(AND('Mapa final'!$Y$18="Media",'Mapa final'!$AA$18="Catastrófico"),CONCATENATE("R1C",'Mapa final'!$O$18),"")</f>
        <v/>
      </c>
      <c r="AK26" s="19" t="e">
        <f>IF(AND('Mapa final'!#REF!="Media",'Mapa final'!#REF!="Catastrófico"),CONCATENATE("R1C",'Mapa final'!#REF!),"")</f>
        <v>#REF!</v>
      </c>
      <c r="AL26" s="19" t="e">
        <f>IF(AND('Mapa final'!#REF!="Media",'Mapa final'!#REF!="Catastrófico"),CONCATENATE("R1C",'Mapa final'!#REF!),"")</f>
        <v>#REF!</v>
      </c>
      <c r="AM26" s="20" t="e">
        <f>IF(AND('Mapa final'!#REF!="Media",'Mapa final'!#REF!="Catastrófico"),CONCATENATE("R1C",'Mapa final'!#REF!),"")</f>
        <v>#REF!</v>
      </c>
      <c r="AN26" s="1"/>
      <c r="AO26" s="283" t="s">
        <v>100</v>
      </c>
      <c r="AP26" s="259"/>
      <c r="AQ26" s="259"/>
      <c r="AR26" s="259"/>
      <c r="AS26" s="259"/>
      <c r="AT26" s="260"/>
    </row>
    <row r="27" spans="2:46" ht="15" customHeight="1" x14ac:dyDescent="0.25">
      <c r="B27" s="278"/>
      <c r="C27" s="201"/>
      <c r="D27" s="202"/>
      <c r="E27" s="213"/>
      <c r="F27" s="201"/>
      <c r="G27" s="201"/>
      <c r="H27" s="201"/>
      <c r="I27" s="202"/>
      <c r="J27" s="36" t="str">
        <f>IF(AND('Mapa final'!$Y$21="Media",'Mapa final'!$AA$21="Leve"),CONCATENATE("R2C",'Mapa final'!$O$21),"")</f>
        <v/>
      </c>
      <c r="K27" s="37" t="e">
        <f>IF(AND('Mapa final'!#REF!="Media",'Mapa final'!#REF!="Leve"),CONCATENATE("R2C",'Mapa final'!#REF!),"")</f>
        <v>#REF!</v>
      </c>
      <c r="L27" s="37" t="e">
        <f>IF(AND('Mapa final'!#REF!="Media",'Mapa final'!#REF!="Leve"),CONCATENATE("R2C",'Mapa final'!#REF!),"")</f>
        <v>#REF!</v>
      </c>
      <c r="M27" s="37" t="e">
        <f>IF(AND('Mapa final'!#REF!="Media",'Mapa final'!#REF!="Leve"),CONCATENATE("R2C",'Mapa final'!#REF!),"")</f>
        <v>#REF!</v>
      </c>
      <c r="N27" s="37" t="str">
        <f>IF(AND('Mapa final'!$Y$22="Media",'Mapa final'!$AA$22="Leve"),CONCATENATE("R2C",'Mapa final'!$O$22),"")</f>
        <v/>
      </c>
      <c r="O27" s="38" t="str">
        <f>IF(AND('Mapa final'!$Y$23="Media",'Mapa final'!$AA$23="Leve"),CONCATENATE("R2C",'Mapa final'!$O$23),"")</f>
        <v/>
      </c>
      <c r="P27" s="36" t="str">
        <f>IF(AND('Mapa final'!$Y$21="Media",'Mapa final'!$AA$21="Menor"),CONCATENATE("R2C",'Mapa final'!$O$21),"")</f>
        <v/>
      </c>
      <c r="Q27" s="37" t="e">
        <f>IF(AND('Mapa final'!#REF!="Media",'Mapa final'!#REF!="Menor"),CONCATENATE("R2C",'Mapa final'!#REF!),"")</f>
        <v>#REF!</v>
      </c>
      <c r="R27" s="37" t="e">
        <f>IF(AND('Mapa final'!#REF!="Media",'Mapa final'!#REF!="Menor"),CONCATENATE("R2C",'Mapa final'!#REF!),"")</f>
        <v>#REF!</v>
      </c>
      <c r="S27" s="37" t="e">
        <f>IF(AND('Mapa final'!#REF!="Media",'Mapa final'!#REF!="Menor"),CONCATENATE("R2C",'Mapa final'!#REF!),"")</f>
        <v>#REF!</v>
      </c>
      <c r="T27" s="37" t="str">
        <f>IF(AND('Mapa final'!$Y$22="Media",'Mapa final'!$AA$22="Menor"),CONCATENATE("R2C",'Mapa final'!$O$22),"")</f>
        <v/>
      </c>
      <c r="U27" s="38" t="str">
        <f>IF(AND('Mapa final'!$Y$23="Media",'Mapa final'!$AA$23="Menor"),CONCATENATE("R2C",'Mapa final'!$O$23),"")</f>
        <v/>
      </c>
      <c r="V27" s="36" t="str">
        <f>IF(AND('Mapa final'!$Y$21="Media",'Mapa final'!$AA$21="Moderado"),CONCATENATE("R2C",'Mapa final'!$O$21),"")</f>
        <v/>
      </c>
      <c r="W27" s="37" t="e">
        <f>IF(AND('Mapa final'!#REF!="Media",'Mapa final'!#REF!="Moderado"),CONCATENATE("R2C",'Mapa final'!#REF!),"")</f>
        <v>#REF!</v>
      </c>
      <c r="X27" s="37" t="e">
        <f>IF(AND('Mapa final'!#REF!="Media",'Mapa final'!#REF!="Moderado"),CONCATENATE("R2C",'Mapa final'!#REF!),"")</f>
        <v>#REF!</v>
      </c>
      <c r="Y27" s="37" t="e">
        <f>IF(AND('Mapa final'!#REF!="Media",'Mapa final'!#REF!="Moderado"),CONCATENATE("R2C",'Mapa final'!#REF!),"")</f>
        <v>#REF!</v>
      </c>
      <c r="Z27" s="37" t="str">
        <f>IF(AND('Mapa final'!$Y$22="Media",'Mapa final'!$AA$22="Moderado"),CONCATENATE("R2C",'Mapa final'!$O$22),"")</f>
        <v/>
      </c>
      <c r="AA27" s="38" t="str">
        <f>IF(AND('Mapa final'!$Y$23="Media",'Mapa final'!$AA$23="Moderado"),CONCATENATE("R2C",'Mapa final'!$O$23),"")</f>
        <v/>
      </c>
      <c r="AB27" s="21" t="str">
        <f>IF(AND('Mapa final'!$Y$21="Media",'Mapa final'!$AA$21="Mayor"),CONCATENATE("R2C",'Mapa final'!$O$21),"")</f>
        <v>R2C1</v>
      </c>
      <c r="AC27" s="22" t="e">
        <f>IF(AND('Mapa final'!#REF!="Media",'Mapa final'!#REF!="Mayor"),CONCATENATE("R2C",'Mapa final'!#REF!),"")</f>
        <v>#REF!</v>
      </c>
      <c r="AD27" s="22" t="e">
        <f>IF(AND('Mapa final'!#REF!="Media",'Mapa final'!#REF!="Mayor"),CONCATENATE("R2C",'Mapa final'!#REF!),"")</f>
        <v>#REF!</v>
      </c>
      <c r="AE27" s="22" t="e">
        <f>IF(AND('Mapa final'!#REF!="Media",'Mapa final'!#REF!="Mayor"),CONCATENATE("R2C",'Mapa final'!#REF!),"")</f>
        <v>#REF!</v>
      </c>
      <c r="AF27" s="22" t="str">
        <f>IF(AND('Mapa final'!$Y$22="Media",'Mapa final'!$AA$22="Mayor"),CONCATENATE("R2C",'Mapa final'!$O$22),"")</f>
        <v/>
      </c>
      <c r="AG27" s="23" t="str">
        <f>IF(AND('Mapa final'!$Y$23="Media",'Mapa final'!$AA$23="Mayor"),CONCATENATE("R2C",'Mapa final'!$O$23),"")</f>
        <v/>
      </c>
      <c r="AH27" s="24" t="str">
        <f>IF(AND('Mapa final'!$Y$21="Media",'Mapa final'!$AA$21="Catastrófico"),CONCATENATE("R2C",'Mapa final'!$O$21),"")</f>
        <v/>
      </c>
      <c r="AI27" s="25" t="e">
        <f>IF(AND('Mapa final'!#REF!="Media",'Mapa final'!#REF!="Catastrófico"),CONCATENATE("R2C",'Mapa final'!#REF!),"")</f>
        <v>#REF!</v>
      </c>
      <c r="AJ27" s="25" t="e">
        <f>IF(AND('Mapa final'!#REF!="Media",'Mapa final'!#REF!="Catastrófico"),CONCATENATE("R2C",'Mapa final'!#REF!),"")</f>
        <v>#REF!</v>
      </c>
      <c r="AK27" s="25" t="e">
        <f>IF(AND('Mapa final'!#REF!="Media",'Mapa final'!#REF!="Catastrófico"),CONCATENATE("R2C",'Mapa final'!#REF!),"")</f>
        <v>#REF!</v>
      </c>
      <c r="AL27" s="25" t="str">
        <f>IF(AND('Mapa final'!$Y$22="Media",'Mapa final'!$AA$22="Catastrófico"),CONCATENATE("R2C",'Mapa final'!$O$22),"")</f>
        <v/>
      </c>
      <c r="AM27" s="26" t="str">
        <f>IF(AND('Mapa final'!$Y$23="Media",'Mapa final'!$AA$23="Catastrófico"),CONCATENATE("R2C",'Mapa final'!$O$23),"")</f>
        <v/>
      </c>
      <c r="AN27" s="1"/>
      <c r="AO27" s="261"/>
      <c r="AP27" s="201"/>
      <c r="AQ27" s="201"/>
      <c r="AR27" s="201"/>
      <c r="AS27" s="201"/>
      <c r="AT27" s="262"/>
    </row>
    <row r="28" spans="2:46" ht="15" customHeight="1" x14ac:dyDescent="0.25">
      <c r="B28" s="278"/>
      <c r="C28" s="201"/>
      <c r="D28" s="202"/>
      <c r="E28" s="213"/>
      <c r="F28" s="201"/>
      <c r="G28" s="201"/>
      <c r="H28" s="201"/>
      <c r="I28" s="202"/>
      <c r="J28" s="36" t="str">
        <f>IF(AND('Mapa final'!$Y$26="Media",'Mapa final'!$AA$26="Leve"),CONCATENATE("R3C",'Mapa final'!$O$26),"")</f>
        <v/>
      </c>
      <c r="K28" s="37" t="str">
        <f>IF(AND('Mapa final'!$Y$27="Media",'Mapa final'!$AA$27="Leve"),CONCATENATE("R3C",'Mapa final'!$O$27),"")</f>
        <v/>
      </c>
      <c r="L28" s="37" t="str">
        <f>IF(AND('Mapa final'!$Y$28="Media",'Mapa final'!$AA$28="Leve"),CONCATENATE("R3C",'Mapa final'!$O$28),"")</f>
        <v/>
      </c>
      <c r="M28" s="37" t="e">
        <f>IF(AND('Mapa final'!#REF!="Media",'Mapa final'!#REF!="Leve"),CONCATENATE("R3C",'Mapa final'!#REF!),"")</f>
        <v>#REF!</v>
      </c>
      <c r="N28" s="37" t="e">
        <f>IF(AND('Mapa final'!#REF!="Media",'Mapa final'!#REF!="Leve"),CONCATENATE("R3C",'Mapa final'!#REF!),"")</f>
        <v>#REF!</v>
      </c>
      <c r="O28" s="38" t="e">
        <f>IF(AND('Mapa final'!#REF!="Media",'Mapa final'!#REF!="Leve"),CONCATENATE("R3C",'Mapa final'!#REF!),"")</f>
        <v>#REF!</v>
      </c>
      <c r="P28" s="36" t="str">
        <f>IF(AND('Mapa final'!$Y$26="Media",'Mapa final'!$AA$26="Menor"),CONCATENATE("R3C",'Mapa final'!$O$26),"")</f>
        <v/>
      </c>
      <c r="Q28" s="37" t="str">
        <f>IF(AND('Mapa final'!$Y$27="Media",'Mapa final'!$AA$27="Menor"),CONCATENATE("R3C",'Mapa final'!$O$27),"")</f>
        <v/>
      </c>
      <c r="R28" s="37" t="str">
        <f>IF(AND('Mapa final'!$Y$28="Media",'Mapa final'!$AA$28="Menor"),CONCATENATE("R3C",'Mapa final'!$O$28),"")</f>
        <v/>
      </c>
      <c r="S28" s="37" t="e">
        <f>IF(AND('Mapa final'!#REF!="Media",'Mapa final'!#REF!="Menor"),CONCATENATE("R3C",'Mapa final'!#REF!),"")</f>
        <v>#REF!</v>
      </c>
      <c r="T28" s="37" t="e">
        <f>IF(AND('Mapa final'!#REF!="Media",'Mapa final'!#REF!="Menor"),CONCATENATE("R3C",'Mapa final'!#REF!),"")</f>
        <v>#REF!</v>
      </c>
      <c r="U28" s="38" t="e">
        <f>IF(AND('Mapa final'!#REF!="Media",'Mapa final'!#REF!="Menor"),CONCATENATE("R3C",'Mapa final'!#REF!),"")</f>
        <v>#REF!</v>
      </c>
      <c r="V28" s="36" t="str">
        <f>IF(AND('Mapa final'!$Y$26="Media",'Mapa final'!$AA$26="Moderado"),CONCATENATE("R3C",'Mapa final'!$O$26),"")</f>
        <v/>
      </c>
      <c r="W28" s="37" t="str">
        <f>IF(AND('Mapa final'!$Y$27="Media",'Mapa final'!$AA$27="Moderado"),CONCATENATE("R3C",'Mapa final'!$O$27),"")</f>
        <v/>
      </c>
      <c r="X28" s="37" t="str">
        <f>IF(AND('Mapa final'!$Y$28="Media",'Mapa final'!$AA$28="Moderado"),CONCATENATE("R3C",'Mapa final'!$O$28),"")</f>
        <v/>
      </c>
      <c r="Y28" s="37" t="e">
        <f>IF(AND('Mapa final'!#REF!="Media",'Mapa final'!#REF!="Moderado"),CONCATENATE("R3C",'Mapa final'!#REF!),"")</f>
        <v>#REF!</v>
      </c>
      <c r="Z28" s="37" t="e">
        <f>IF(AND('Mapa final'!#REF!="Media",'Mapa final'!#REF!="Moderado"),CONCATENATE("R3C",'Mapa final'!#REF!),"")</f>
        <v>#REF!</v>
      </c>
      <c r="AA28" s="38" t="e">
        <f>IF(AND('Mapa final'!#REF!="Media",'Mapa final'!#REF!="Moderado"),CONCATENATE("R3C",'Mapa final'!#REF!),"")</f>
        <v>#REF!</v>
      </c>
      <c r="AB28" s="21" t="str">
        <f>IF(AND('Mapa final'!$Y$26="Media",'Mapa final'!$AA$26="Mayor"),CONCATENATE("R3C",'Mapa final'!$O$26),"")</f>
        <v>R3C1</v>
      </c>
      <c r="AC28" s="22" t="str">
        <f>IF(AND('Mapa final'!$Y$27="Media",'Mapa final'!$AA$27="Mayor"),CONCATENATE("R3C",'Mapa final'!$O$27),"")</f>
        <v/>
      </c>
      <c r="AD28" s="22" t="str">
        <f>IF(AND('Mapa final'!$Y$28="Media",'Mapa final'!$AA$28="Mayor"),CONCATENATE("R3C",'Mapa final'!$O$28),"")</f>
        <v/>
      </c>
      <c r="AE28" s="22" t="e">
        <f>IF(AND('Mapa final'!#REF!="Media",'Mapa final'!#REF!="Mayor"),CONCATENATE("R3C",'Mapa final'!#REF!),"")</f>
        <v>#REF!</v>
      </c>
      <c r="AF28" s="22" t="e">
        <f>IF(AND('Mapa final'!#REF!="Media",'Mapa final'!#REF!="Mayor"),CONCATENATE("R3C",'Mapa final'!#REF!),"")</f>
        <v>#REF!</v>
      </c>
      <c r="AG28" s="23" t="e">
        <f>IF(AND('Mapa final'!#REF!="Media",'Mapa final'!#REF!="Mayor"),CONCATENATE("R3C",'Mapa final'!#REF!),"")</f>
        <v>#REF!</v>
      </c>
      <c r="AH28" s="24" t="str">
        <f>IF(AND('Mapa final'!$Y$26="Media",'Mapa final'!$AA$26="Catastrófico"),CONCATENATE("R3C",'Mapa final'!$O$26),"")</f>
        <v/>
      </c>
      <c r="AI28" s="25" t="str">
        <f>IF(AND('Mapa final'!$Y$27="Media",'Mapa final'!$AA$27="Catastrófico"),CONCATENATE("R3C",'Mapa final'!$O$27),"")</f>
        <v/>
      </c>
      <c r="AJ28" s="25" t="str">
        <f>IF(AND('Mapa final'!$Y$28="Media",'Mapa final'!$AA$28="Catastrófico"),CONCATENATE("R3C",'Mapa final'!$O$28),"")</f>
        <v/>
      </c>
      <c r="AK28" s="25" t="e">
        <f>IF(AND('Mapa final'!#REF!="Media",'Mapa final'!#REF!="Catastrófico"),CONCATENATE("R3C",'Mapa final'!#REF!),"")</f>
        <v>#REF!</v>
      </c>
      <c r="AL28" s="25" t="e">
        <f>IF(AND('Mapa final'!#REF!="Media",'Mapa final'!#REF!="Catastrófico"),CONCATENATE("R3C",'Mapa final'!#REF!),"")</f>
        <v>#REF!</v>
      </c>
      <c r="AM28" s="26" t="e">
        <f>IF(AND('Mapa final'!#REF!="Media",'Mapa final'!#REF!="Catastrófico"),CONCATENATE("R3C",'Mapa final'!#REF!),"")</f>
        <v>#REF!</v>
      </c>
      <c r="AN28" s="1"/>
      <c r="AO28" s="261"/>
      <c r="AP28" s="201"/>
      <c r="AQ28" s="201"/>
      <c r="AR28" s="201"/>
      <c r="AS28" s="201"/>
      <c r="AT28" s="262"/>
    </row>
    <row r="29" spans="2:46" ht="15" customHeight="1" x14ac:dyDescent="0.25">
      <c r="B29" s="278"/>
      <c r="C29" s="201"/>
      <c r="D29" s="202"/>
      <c r="E29" s="213"/>
      <c r="F29" s="201"/>
      <c r="G29" s="201"/>
      <c r="H29" s="201"/>
      <c r="I29" s="202"/>
      <c r="J29" s="36" t="str">
        <f>IF(AND('Mapa final'!$Y$31="Media",'Mapa final'!$AA$31="Leve"),CONCATENATE("R4C",'Mapa final'!$O$31),"")</f>
        <v/>
      </c>
      <c r="K29" s="37" t="str">
        <f>IF(AND('Mapa final'!$Y$32="Media",'Mapa final'!$AA$32="Leve"),CONCATENATE("R4C",'Mapa final'!$O$32),"")</f>
        <v/>
      </c>
      <c r="L29" s="37" t="e">
        <f>IF(AND('Mapa final'!#REF!="Media",'Mapa final'!#REF!="Leve"),CONCATENATE("R4C",'Mapa final'!#REF!),"")</f>
        <v>#REF!</v>
      </c>
      <c r="M29" s="37" t="str">
        <f>IF(AND('Mapa final'!$Y$33="Media",'Mapa final'!$AA$33="Leve"),CONCATENATE("R4C",'Mapa final'!$O$33),"")</f>
        <v/>
      </c>
      <c r="N29" s="37" t="e">
        <f>IF(AND('Mapa final'!#REF!="Media",'Mapa final'!#REF!="Leve"),CONCATENATE("R4C",'Mapa final'!#REF!),"")</f>
        <v>#REF!</v>
      </c>
      <c r="O29" s="38" t="e">
        <f>IF(AND('Mapa final'!#REF!="Media",'Mapa final'!#REF!="Leve"),CONCATENATE("R4C",'Mapa final'!#REF!),"")</f>
        <v>#REF!</v>
      </c>
      <c r="P29" s="36" t="str">
        <f>IF(AND('Mapa final'!$Y$31="Media",'Mapa final'!$AA$31="Menor"),CONCATENATE("R4C",'Mapa final'!$O$31),"")</f>
        <v/>
      </c>
      <c r="Q29" s="37" t="str">
        <f>IF(AND('Mapa final'!$Y$32="Media",'Mapa final'!$AA$32="Menor"),CONCATENATE("R4C",'Mapa final'!$O$32),"")</f>
        <v/>
      </c>
      <c r="R29" s="37" t="e">
        <f>IF(AND('Mapa final'!#REF!="Media",'Mapa final'!#REF!="Menor"),CONCATENATE("R4C",'Mapa final'!#REF!),"")</f>
        <v>#REF!</v>
      </c>
      <c r="S29" s="37" t="str">
        <f>IF(AND('Mapa final'!$Y$33="Media",'Mapa final'!$AA$33="Menor"),CONCATENATE("R4C",'Mapa final'!$O$33),"")</f>
        <v/>
      </c>
      <c r="T29" s="37" t="e">
        <f>IF(AND('Mapa final'!#REF!="Media",'Mapa final'!#REF!="Menor"),CONCATENATE("R4C",'Mapa final'!#REF!),"")</f>
        <v>#REF!</v>
      </c>
      <c r="U29" s="38" t="e">
        <f>IF(AND('Mapa final'!#REF!="Media",'Mapa final'!#REF!="Menor"),CONCATENATE("R4C",'Mapa final'!#REF!),"")</f>
        <v>#REF!</v>
      </c>
      <c r="V29" s="36" t="str">
        <f>IF(AND('Mapa final'!$Y$31="Media",'Mapa final'!$AA$31="Moderado"),CONCATENATE("R4C",'Mapa final'!$O$31),"")</f>
        <v/>
      </c>
      <c r="W29" s="37" t="str">
        <f>IF(AND('Mapa final'!$Y$32="Media",'Mapa final'!$AA$32="Moderado"),CONCATENATE("R4C",'Mapa final'!$O$32),"")</f>
        <v/>
      </c>
      <c r="X29" s="37" t="e">
        <f>IF(AND('Mapa final'!#REF!="Media",'Mapa final'!#REF!="Moderado"),CONCATENATE("R4C",'Mapa final'!#REF!),"")</f>
        <v>#REF!</v>
      </c>
      <c r="Y29" s="37" t="str">
        <f>IF(AND('Mapa final'!$Y$33="Media",'Mapa final'!$AA$33="Moderado"),CONCATENATE("R4C",'Mapa final'!$O$33),"")</f>
        <v/>
      </c>
      <c r="Z29" s="37" t="e">
        <f>IF(AND('Mapa final'!#REF!="Media",'Mapa final'!#REF!="Moderado"),CONCATENATE("R4C",'Mapa final'!#REF!),"")</f>
        <v>#REF!</v>
      </c>
      <c r="AA29" s="38" t="e">
        <f>IF(AND('Mapa final'!#REF!="Media",'Mapa final'!#REF!="Moderado"),CONCATENATE("R4C",'Mapa final'!#REF!),"")</f>
        <v>#REF!</v>
      </c>
      <c r="AB29" s="21" t="str">
        <f>IF(AND('Mapa final'!$Y$31="Media",'Mapa final'!$AA$31="Mayor"),CONCATENATE("R4C",'Mapa final'!$O$31),"")</f>
        <v>R4C1</v>
      </c>
      <c r="AC29" s="22" t="str">
        <f>IF(AND('Mapa final'!$Y$32="Media",'Mapa final'!$AA$32="Mayor"),CONCATENATE("R4C",'Mapa final'!$O$32),"")</f>
        <v/>
      </c>
      <c r="AD29" s="22" t="e">
        <f>IF(AND('Mapa final'!#REF!="Media",'Mapa final'!#REF!="Mayor"),CONCATENATE("R4C",'Mapa final'!#REF!),"")</f>
        <v>#REF!</v>
      </c>
      <c r="AE29" s="22" t="str">
        <f>IF(AND('Mapa final'!$Y$33="Media",'Mapa final'!$AA$33="Mayor"),CONCATENATE("R4C",'Mapa final'!$O$33),"")</f>
        <v/>
      </c>
      <c r="AF29" s="22" t="e">
        <f>IF(AND('Mapa final'!#REF!="Media",'Mapa final'!#REF!="Mayor"),CONCATENATE("R4C",'Mapa final'!#REF!),"")</f>
        <v>#REF!</v>
      </c>
      <c r="AG29" s="23" t="e">
        <f>IF(AND('Mapa final'!#REF!="Media",'Mapa final'!#REF!="Mayor"),CONCATENATE("R4C",'Mapa final'!#REF!),"")</f>
        <v>#REF!</v>
      </c>
      <c r="AH29" s="24" t="str">
        <f>IF(AND('Mapa final'!$Y$31="Media",'Mapa final'!$AA$31="Catastrófico"),CONCATENATE("R4C",'Mapa final'!$O$31),"")</f>
        <v/>
      </c>
      <c r="AI29" s="25" t="str">
        <f>IF(AND('Mapa final'!$Y$32="Media",'Mapa final'!$AA$32="Catastrófico"),CONCATENATE("R4C",'Mapa final'!$O$32),"")</f>
        <v/>
      </c>
      <c r="AJ29" s="25" t="e">
        <f>IF(AND('Mapa final'!#REF!="Media",'Mapa final'!#REF!="Catastrófico"),CONCATENATE("R4C",'Mapa final'!#REF!),"")</f>
        <v>#REF!</v>
      </c>
      <c r="AK29" s="25" t="str">
        <f>IF(AND('Mapa final'!$Y$33="Media",'Mapa final'!$AA$33="Catastrófico"),CONCATENATE("R4C",'Mapa final'!$O$33),"")</f>
        <v/>
      </c>
      <c r="AL29" s="25" t="e">
        <f>IF(AND('Mapa final'!#REF!="Media",'Mapa final'!#REF!="Catastrófico"),CONCATENATE("R4C",'Mapa final'!#REF!),"")</f>
        <v>#REF!</v>
      </c>
      <c r="AM29" s="26" t="e">
        <f>IF(AND('Mapa final'!#REF!="Media",'Mapa final'!#REF!="Catastrófico"),CONCATENATE("R4C",'Mapa final'!#REF!),"")</f>
        <v>#REF!</v>
      </c>
      <c r="AN29" s="1"/>
      <c r="AO29" s="261"/>
      <c r="AP29" s="201"/>
      <c r="AQ29" s="201"/>
      <c r="AR29" s="201"/>
      <c r="AS29" s="201"/>
      <c r="AT29" s="262"/>
    </row>
    <row r="30" spans="2:46" ht="15" customHeight="1" x14ac:dyDescent="0.25">
      <c r="B30" s="278"/>
      <c r="C30" s="201"/>
      <c r="D30" s="202"/>
      <c r="E30" s="213"/>
      <c r="F30" s="201"/>
      <c r="G30" s="201"/>
      <c r="H30" s="201"/>
      <c r="I30" s="202"/>
      <c r="J30" s="36" t="str">
        <f>IF(AND('Mapa final'!$Y$36="Media",'Mapa final'!$AA$36="Leve"),CONCATENATE("R5C",'Mapa final'!$O$36),"")</f>
        <v/>
      </c>
      <c r="K30" s="37" t="str">
        <f>IF(AND('Mapa final'!$Y$37="Media",'Mapa final'!$AA$37="Leve"),CONCATENATE("R5C",'Mapa final'!$O$37),"")</f>
        <v/>
      </c>
      <c r="L30" s="37" t="str">
        <f>IF(AND('Mapa final'!$Y$38="Media",'Mapa final'!$AA$38="Leve"),CONCATENATE("R5C",'Mapa final'!$O$38),"")</f>
        <v/>
      </c>
      <c r="M30" s="37" t="e">
        <f>IF(AND('Mapa final'!#REF!="Media",'Mapa final'!#REF!="Leve"),CONCATENATE("R5C",'Mapa final'!#REF!),"")</f>
        <v>#REF!</v>
      </c>
      <c r="N30" s="37" t="e">
        <f>IF(AND('Mapa final'!#REF!="Media",'Mapa final'!#REF!="Leve"),CONCATENATE("R5C",'Mapa final'!#REF!),"")</f>
        <v>#REF!</v>
      </c>
      <c r="O30" s="38" t="e">
        <f>IF(AND('Mapa final'!#REF!="Media",'Mapa final'!#REF!="Leve"),CONCATENATE("R5C",'Mapa final'!#REF!),"")</f>
        <v>#REF!</v>
      </c>
      <c r="P30" s="36" t="str">
        <f>IF(AND('Mapa final'!$Y$36="Media",'Mapa final'!$AA$36="Menor"),CONCATENATE("R5C",'Mapa final'!$O$36),"")</f>
        <v/>
      </c>
      <c r="Q30" s="37" t="str">
        <f>IF(AND('Mapa final'!$Y$37="Media",'Mapa final'!$AA$37="Menor"),CONCATENATE("R5C",'Mapa final'!$O$37),"")</f>
        <v/>
      </c>
      <c r="R30" s="37" t="str">
        <f>IF(AND('Mapa final'!$Y$38="Media",'Mapa final'!$AA$38="Menor"),CONCATENATE("R5C",'Mapa final'!$O$38),"")</f>
        <v/>
      </c>
      <c r="S30" s="37" t="e">
        <f>IF(AND('Mapa final'!#REF!="Media",'Mapa final'!#REF!="Menor"),CONCATENATE("R5C",'Mapa final'!#REF!),"")</f>
        <v>#REF!</v>
      </c>
      <c r="T30" s="37" t="e">
        <f>IF(AND('Mapa final'!#REF!="Media",'Mapa final'!#REF!="Menor"),CONCATENATE("R5C",'Mapa final'!#REF!),"")</f>
        <v>#REF!</v>
      </c>
      <c r="U30" s="38" t="e">
        <f>IF(AND('Mapa final'!#REF!="Media",'Mapa final'!#REF!="Menor"),CONCATENATE("R5C",'Mapa final'!#REF!),"")</f>
        <v>#REF!</v>
      </c>
      <c r="V30" s="36" t="str">
        <f>IF(AND('Mapa final'!$Y$36="Media",'Mapa final'!$AA$36="Moderado"),CONCATENATE("R5C",'Mapa final'!$O$36),"")</f>
        <v/>
      </c>
      <c r="W30" s="37" t="str">
        <f>IF(AND('Mapa final'!$Y$37="Media",'Mapa final'!$AA$37="Moderado"),CONCATENATE("R5C",'Mapa final'!$O$37),"")</f>
        <v/>
      </c>
      <c r="X30" s="37" t="str">
        <f>IF(AND('Mapa final'!$Y$38="Media",'Mapa final'!$AA$38="Moderado"),CONCATENATE("R5C",'Mapa final'!$O$38),"")</f>
        <v/>
      </c>
      <c r="Y30" s="37" t="e">
        <f>IF(AND('Mapa final'!#REF!="Media",'Mapa final'!#REF!="Moderado"),CONCATENATE("R5C",'Mapa final'!#REF!),"")</f>
        <v>#REF!</v>
      </c>
      <c r="Z30" s="37" t="e">
        <f>IF(AND('Mapa final'!#REF!="Media",'Mapa final'!#REF!="Moderado"),CONCATENATE("R5C",'Mapa final'!#REF!),"")</f>
        <v>#REF!</v>
      </c>
      <c r="AA30" s="38" t="e">
        <f>IF(AND('Mapa final'!#REF!="Media",'Mapa final'!#REF!="Moderado"),CONCATENATE("R5C",'Mapa final'!#REF!),"")</f>
        <v>#REF!</v>
      </c>
      <c r="AB30" s="21" t="str">
        <f>IF(AND('Mapa final'!$Y$36="Media",'Mapa final'!$AA$36="Mayor"),CONCATENATE("R5C",'Mapa final'!$O$36),"")</f>
        <v/>
      </c>
      <c r="AC30" s="22" t="str">
        <f>IF(AND('Mapa final'!$Y$37="Media",'Mapa final'!$AA$37="Mayor"),CONCATENATE("R5C",'Mapa final'!$O$37),"")</f>
        <v/>
      </c>
      <c r="AD30" s="22" t="str">
        <f>IF(AND('Mapa final'!$Y$38="Media",'Mapa final'!$AA$38="Mayor"),CONCATENATE("R5C",'Mapa final'!$O$38),"")</f>
        <v/>
      </c>
      <c r="AE30" s="22" t="e">
        <f>IF(AND('Mapa final'!#REF!="Media",'Mapa final'!#REF!="Mayor"),CONCATENATE("R5C",'Mapa final'!#REF!),"")</f>
        <v>#REF!</v>
      </c>
      <c r="AF30" s="22" t="e">
        <f>IF(AND('Mapa final'!#REF!="Media",'Mapa final'!#REF!="Mayor"),CONCATENATE("R5C",'Mapa final'!#REF!),"")</f>
        <v>#REF!</v>
      </c>
      <c r="AG30" s="23" t="e">
        <f>IF(AND('Mapa final'!#REF!="Media",'Mapa final'!#REF!="Mayor"),CONCATENATE("R5C",'Mapa final'!#REF!),"")</f>
        <v>#REF!</v>
      </c>
      <c r="AH30" s="24" t="str">
        <f>IF(AND('Mapa final'!$Y$36="Media",'Mapa final'!$AA$36="Catastrófico"),CONCATENATE("R5C",'Mapa final'!$O$36),"")</f>
        <v/>
      </c>
      <c r="AI30" s="25" t="str">
        <f>IF(AND('Mapa final'!$Y$37="Media",'Mapa final'!$AA$37="Catastrófico"),CONCATENATE("R5C",'Mapa final'!$O$37),"")</f>
        <v/>
      </c>
      <c r="AJ30" s="25" t="str">
        <f>IF(AND('Mapa final'!$Y$38="Media",'Mapa final'!$AA$38="Catastrófico"),CONCATENATE("R5C",'Mapa final'!$O$38),"")</f>
        <v/>
      </c>
      <c r="AK30" s="25" t="e">
        <f>IF(AND('Mapa final'!#REF!="Media",'Mapa final'!#REF!="Catastrófico"),CONCATENATE("R5C",'Mapa final'!#REF!),"")</f>
        <v>#REF!</v>
      </c>
      <c r="AL30" s="25" t="e">
        <f>IF(AND('Mapa final'!#REF!="Media",'Mapa final'!#REF!="Catastrófico"),CONCATENATE("R5C",'Mapa final'!#REF!),"")</f>
        <v>#REF!</v>
      </c>
      <c r="AM30" s="26" t="e">
        <f>IF(AND('Mapa final'!#REF!="Media",'Mapa final'!#REF!="Catastrófico"),CONCATENATE("R5C",'Mapa final'!#REF!),"")</f>
        <v>#REF!</v>
      </c>
      <c r="AN30" s="1"/>
      <c r="AO30" s="261"/>
      <c r="AP30" s="201"/>
      <c r="AQ30" s="201"/>
      <c r="AR30" s="201"/>
      <c r="AS30" s="201"/>
      <c r="AT30" s="262"/>
    </row>
    <row r="31" spans="2:46" ht="15" customHeight="1" x14ac:dyDescent="0.25">
      <c r="B31" s="278"/>
      <c r="C31" s="201"/>
      <c r="D31" s="202"/>
      <c r="E31" s="213"/>
      <c r="F31" s="201"/>
      <c r="G31" s="201"/>
      <c r="H31" s="201"/>
      <c r="I31" s="202"/>
      <c r="J31" s="36" t="str">
        <f>IF(AND('Mapa final'!$Y$41="Media",'Mapa final'!$AA$41="Leve"),CONCATENATE("R6C",'Mapa final'!$O$41),"")</f>
        <v/>
      </c>
      <c r="K31" s="37" t="str">
        <f>IF(AND('Mapa final'!$Y$42="Media",'Mapa final'!$AA$42="Leve"),CONCATENATE("R6C",'Mapa final'!$O$42),"")</f>
        <v/>
      </c>
      <c r="L31" s="37" t="str">
        <f>IF(AND('Mapa final'!$Y$43="Media",'Mapa final'!$AA$43="Leve"),CONCATENATE("R6C",'Mapa final'!$O$43),"")</f>
        <v/>
      </c>
      <c r="M31" s="37" t="e">
        <f>IF(AND('Mapa final'!#REF!="Media",'Mapa final'!#REF!="Leve"),CONCATENATE("R6C",'Mapa final'!#REF!),"")</f>
        <v>#REF!</v>
      </c>
      <c r="N31" s="37" t="e">
        <f>IF(AND('Mapa final'!#REF!="Media",'Mapa final'!#REF!="Leve"),CONCATENATE("R6C",'Mapa final'!#REF!),"")</f>
        <v>#REF!</v>
      </c>
      <c r="O31" s="38" t="e">
        <f>IF(AND('Mapa final'!#REF!="Media",'Mapa final'!#REF!="Leve"),CONCATENATE("R6C",'Mapa final'!#REF!),"")</f>
        <v>#REF!</v>
      </c>
      <c r="P31" s="36" t="str">
        <f>IF(AND('Mapa final'!$Y$41="Media",'Mapa final'!$AA$41="Menor"),CONCATENATE("R6C",'Mapa final'!$O$41),"")</f>
        <v/>
      </c>
      <c r="Q31" s="37" t="str">
        <f>IF(AND('Mapa final'!$Y$42="Media",'Mapa final'!$AA$42="Menor"),CONCATENATE("R6C",'Mapa final'!$O$42),"")</f>
        <v/>
      </c>
      <c r="R31" s="37" t="str">
        <f>IF(AND('Mapa final'!$Y$43="Media",'Mapa final'!$AA$43="Menor"),CONCATENATE("R6C",'Mapa final'!$O$43),"")</f>
        <v/>
      </c>
      <c r="S31" s="37" t="e">
        <f>IF(AND('Mapa final'!#REF!="Media",'Mapa final'!#REF!="Menor"),CONCATENATE("R6C",'Mapa final'!#REF!),"")</f>
        <v>#REF!</v>
      </c>
      <c r="T31" s="37" t="e">
        <f>IF(AND('Mapa final'!#REF!="Media",'Mapa final'!#REF!="Menor"),CONCATENATE("R6C",'Mapa final'!#REF!),"")</f>
        <v>#REF!</v>
      </c>
      <c r="U31" s="38" t="e">
        <f>IF(AND('Mapa final'!#REF!="Media",'Mapa final'!#REF!="Menor"),CONCATENATE("R6C",'Mapa final'!#REF!),"")</f>
        <v>#REF!</v>
      </c>
      <c r="V31" s="36" t="str">
        <f>IF(AND('Mapa final'!$Y$41="Media",'Mapa final'!$AA$41="Moderado"),CONCATENATE("R6C",'Mapa final'!$O$41),"")</f>
        <v/>
      </c>
      <c r="W31" s="37" t="str">
        <f>IF(AND('Mapa final'!$Y$42="Media",'Mapa final'!$AA$42="Moderado"),CONCATENATE("R6C",'Mapa final'!$O$42),"")</f>
        <v/>
      </c>
      <c r="X31" s="37" t="str">
        <f>IF(AND('Mapa final'!$Y$43="Media",'Mapa final'!$AA$43="Moderado"),CONCATENATE("R6C",'Mapa final'!$O$43),"")</f>
        <v/>
      </c>
      <c r="Y31" s="37" t="e">
        <f>IF(AND('Mapa final'!#REF!="Media",'Mapa final'!#REF!="Moderado"),CONCATENATE("R6C",'Mapa final'!#REF!),"")</f>
        <v>#REF!</v>
      </c>
      <c r="Z31" s="37" t="e">
        <f>IF(AND('Mapa final'!#REF!="Media",'Mapa final'!#REF!="Moderado"),CONCATENATE("R6C",'Mapa final'!#REF!),"")</f>
        <v>#REF!</v>
      </c>
      <c r="AA31" s="38" t="e">
        <f>IF(AND('Mapa final'!#REF!="Media",'Mapa final'!#REF!="Moderado"),CONCATENATE("R6C",'Mapa final'!#REF!),"")</f>
        <v>#REF!</v>
      </c>
      <c r="AB31" s="21" t="str">
        <f>IF(AND('Mapa final'!$Y$41="Media",'Mapa final'!$AA$41="Mayor"),CONCATENATE("R6C",'Mapa final'!$O$41),"")</f>
        <v/>
      </c>
      <c r="AC31" s="22" t="str">
        <f>IF(AND('Mapa final'!$Y$42="Media",'Mapa final'!$AA$42="Mayor"),CONCATENATE("R6C",'Mapa final'!$O$42),"")</f>
        <v/>
      </c>
      <c r="AD31" s="22" t="str">
        <f>IF(AND('Mapa final'!$Y$43="Media",'Mapa final'!$AA$43="Mayor"),CONCATENATE("R6C",'Mapa final'!$O$43),"")</f>
        <v/>
      </c>
      <c r="AE31" s="22" t="e">
        <f>IF(AND('Mapa final'!#REF!="Media",'Mapa final'!#REF!="Mayor"),CONCATENATE("R6C",'Mapa final'!#REF!),"")</f>
        <v>#REF!</v>
      </c>
      <c r="AF31" s="22" t="e">
        <f>IF(AND('Mapa final'!#REF!="Media",'Mapa final'!#REF!="Mayor"),CONCATENATE("R6C",'Mapa final'!#REF!),"")</f>
        <v>#REF!</v>
      </c>
      <c r="AG31" s="23" t="e">
        <f>IF(AND('Mapa final'!#REF!="Media",'Mapa final'!#REF!="Mayor"),CONCATENATE("R6C",'Mapa final'!#REF!),"")</f>
        <v>#REF!</v>
      </c>
      <c r="AH31" s="24" t="str">
        <f>IF(AND('Mapa final'!$Y$41="Media",'Mapa final'!$AA$41="Catastrófico"),CONCATENATE("R6C",'Mapa final'!$O$41),"")</f>
        <v/>
      </c>
      <c r="AI31" s="25" t="str">
        <f>IF(AND('Mapa final'!$Y$42="Media",'Mapa final'!$AA$42="Catastrófico"),CONCATENATE("R6C",'Mapa final'!$O$42),"")</f>
        <v/>
      </c>
      <c r="AJ31" s="25" t="str">
        <f>IF(AND('Mapa final'!$Y$43="Media",'Mapa final'!$AA$43="Catastrófico"),CONCATENATE("R6C",'Mapa final'!$O$43),"")</f>
        <v/>
      </c>
      <c r="AK31" s="25" t="e">
        <f>IF(AND('Mapa final'!#REF!="Media",'Mapa final'!#REF!="Catastrófico"),CONCATENATE("R6C",'Mapa final'!#REF!),"")</f>
        <v>#REF!</v>
      </c>
      <c r="AL31" s="25" t="e">
        <f>IF(AND('Mapa final'!#REF!="Media",'Mapa final'!#REF!="Catastrófico"),CONCATENATE("R6C",'Mapa final'!#REF!),"")</f>
        <v>#REF!</v>
      </c>
      <c r="AM31" s="26" t="e">
        <f>IF(AND('Mapa final'!#REF!="Media",'Mapa final'!#REF!="Catastrófico"),CONCATENATE("R6C",'Mapa final'!#REF!),"")</f>
        <v>#REF!</v>
      </c>
      <c r="AN31" s="1"/>
      <c r="AO31" s="261"/>
      <c r="AP31" s="201"/>
      <c r="AQ31" s="201"/>
      <c r="AR31" s="201"/>
      <c r="AS31" s="201"/>
      <c r="AT31" s="262"/>
    </row>
    <row r="32" spans="2:46" ht="15" customHeight="1" x14ac:dyDescent="0.25">
      <c r="B32" s="278"/>
      <c r="C32" s="201"/>
      <c r="D32" s="202"/>
      <c r="E32" s="213"/>
      <c r="F32" s="201"/>
      <c r="G32" s="201"/>
      <c r="H32" s="201"/>
      <c r="I32" s="202"/>
      <c r="J32" s="36" t="e">
        <f>IF(AND('Mapa final'!#REF!="Media",'Mapa final'!#REF!="Leve"),CONCATENATE("R7C",'Mapa final'!#REF!),"")</f>
        <v>#REF!</v>
      </c>
      <c r="K32" s="37" t="e">
        <f>IF(AND('Mapa final'!#REF!="Media",'Mapa final'!#REF!="Leve"),CONCATENATE("R7C",'Mapa final'!#REF!),"")</f>
        <v>#REF!</v>
      </c>
      <c r="L32" s="37" t="e">
        <f>IF(AND('Mapa final'!#REF!="Media",'Mapa final'!#REF!="Leve"),CONCATENATE("R7C",'Mapa final'!#REF!),"")</f>
        <v>#REF!</v>
      </c>
      <c r="M32" s="37" t="e">
        <f>IF(AND('Mapa final'!#REF!="Media",'Mapa final'!#REF!="Leve"),CONCATENATE("R7C",'Mapa final'!#REF!),"")</f>
        <v>#REF!</v>
      </c>
      <c r="N32" s="37" t="e">
        <f>IF(AND('Mapa final'!#REF!="Media",'Mapa final'!#REF!="Leve"),CONCATENATE("R7C",'Mapa final'!#REF!),"")</f>
        <v>#REF!</v>
      </c>
      <c r="O32" s="38" t="e">
        <f>IF(AND('Mapa final'!#REF!="Media",'Mapa final'!#REF!="Leve"),CONCATENATE("R7C",'Mapa final'!#REF!),"")</f>
        <v>#REF!</v>
      </c>
      <c r="P32" s="36" t="e">
        <f>IF(AND('Mapa final'!#REF!="Media",'Mapa final'!#REF!="Menor"),CONCATENATE("R7C",'Mapa final'!#REF!),"")</f>
        <v>#REF!</v>
      </c>
      <c r="Q32" s="37" t="e">
        <f>IF(AND('Mapa final'!#REF!="Media",'Mapa final'!#REF!="Menor"),CONCATENATE("R7C",'Mapa final'!#REF!),"")</f>
        <v>#REF!</v>
      </c>
      <c r="R32" s="37" t="e">
        <f>IF(AND('Mapa final'!#REF!="Media",'Mapa final'!#REF!="Menor"),CONCATENATE("R7C",'Mapa final'!#REF!),"")</f>
        <v>#REF!</v>
      </c>
      <c r="S32" s="37" t="e">
        <f>IF(AND('Mapa final'!#REF!="Media",'Mapa final'!#REF!="Menor"),CONCATENATE("R7C",'Mapa final'!#REF!),"")</f>
        <v>#REF!</v>
      </c>
      <c r="T32" s="37" t="e">
        <f>IF(AND('Mapa final'!#REF!="Media",'Mapa final'!#REF!="Menor"),CONCATENATE("R7C",'Mapa final'!#REF!),"")</f>
        <v>#REF!</v>
      </c>
      <c r="U32" s="38" t="e">
        <f>IF(AND('Mapa final'!#REF!="Media",'Mapa final'!#REF!="Menor"),CONCATENATE("R7C",'Mapa final'!#REF!),"")</f>
        <v>#REF!</v>
      </c>
      <c r="V32" s="36" t="e">
        <f>IF(AND('Mapa final'!#REF!="Media",'Mapa final'!#REF!="Moderado"),CONCATENATE("R7C",'Mapa final'!#REF!),"")</f>
        <v>#REF!</v>
      </c>
      <c r="W32" s="37" t="e">
        <f>IF(AND('Mapa final'!#REF!="Media",'Mapa final'!#REF!="Moderado"),CONCATENATE("R7C",'Mapa final'!#REF!),"")</f>
        <v>#REF!</v>
      </c>
      <c r="X32" s="37" t="e">
        <f>IF(AND('Mapa final'!#REF!="Media",'Mapa final'!#REF!="Moderado"),CONCATENATE("R7C",'Mapa final'!#REF!),"")</f>
        <v>#REF!</v>
      </c>
      <c r="Y32" s="37" t="e">
        <f>IF(AND('Mapa final'!#REF!="Media",'Mapa final'!#REF!="Moderado"),CONCATENATE("R7C",'Mapa final'!#REF!),"")</f>
        <v>#REF!</v>
      </c>
      <c r="Z32" s="37" t="e">
        <f>IF(AND('Mapa final'!#REF!="Media",'Mapa final'!#REF!="Moderado"),CONCATENATE("R7C",'Mapa final'!#REF!),"")</f>
        <v>#REF!</v>
      </c>
      <c r="AA32" s="38" t="e">
        <f>IF(AND('Mapa final'!#REF!="Media",'Mapa final'!#REF!="Moderado"),CONCATENATE("R7C",'Mapa final'!#REF!),"")</f>
        <v>#REF!</v>
      </c>
      <c r="AB32" s="21" t="e">
        <f>IF(AND('Mapa final'!#REF!="Media",'Mapa final'!#REF!="Mayor"),CONCATENATE("R7C",'Mapa final'!#REF!),"")</f>
        <v>#REF!</v>
      </c>
      <c r="AC32" s="22" t="e">
        <f>IF(AND('Mapa final'!#REF!="Media",'Mapa final'!#REF!="Mayor"),CONCATENATE("R7C",'Mapa final'!#REF!),"")</f>
        <v>#REF!</v>
      </c>
      <c r="AD32" s="22" t="e">
        <f>IF(AND('Mapa final'!#REF!="Media",'Mapa final'!#REF!="Mayor"),CONCATENATE("R7C",'Mapa final'!#REF!),"")</f>
        <v>#REF!</v>
      </c>
      <c r="AE32" s="22" t="e">
        <f>IF(AND('Mapa final'!#REF!="Media",'Mapa final'!#REF!="Mayor"),CONCATENATE("R7C",'Mapa final'!#REF!),"")</f>
        <v>#REF!</v>
      </c>
      <c r="AF32" s="22" t="e">
        <f>IF(AND('Mapa final'!#REF!="Media",'Mapa final'!#REF!="Mayor"),CONCATENATE("R7C",'Mapa final'!#REF!),"")</f>
        <v>#REF!</v>
      </c>
      <c r="AG32" s="23" t="e">
        <f>IF(AND('Mapa final'!#REF!="Media",'Mapa final'!#REF!="Mayor"),CONCATENATE("R7C",'Mapa final'!#REF!),"")</f>
        <v>#REF!</v>
      </c>
      <c r="AH32" s="24" t="e">
        <f>IF(AND('Mapa final'!#REF!="Media",'Mapa final'!#REF!="Catastrófico"),CONCATENATE("R7C",'Mapa final'!#REF!),"")</f>
        <v>#REF!</v>
      </c>
      <c r="AI32" s="25" t="e">
        <f>IF(AND('Mapa final'!#REF!="Media",'Mapa final'!#REF!="Catastrófico"),CONCATENATE("R7C",'Mapa final'!#REF!),"")</f>
        <v>#REF!</v>
      </c>
      <c r="AJ32" s="25" t="e">
        <f>IF(AND('Mapa final'!#REF!="Media",'Mapa final'!#REF!="Catastrófico"),CONCATENATE("R7C",'Mapa final'!#REF!),"")</f>
        <v>#REF!</v>
      </c>
      <c r="AK32" s="25" t="e">
        <f>IF(AND('Mapa final'!#REF!="Media",'Mapa final'!#REF!="Catastrófico"),CONCATENATE("R7C",'Mapa final'!#REF!),"")</f>
        <v>#REF!</v>
      </c>
      <c r="AL32" s="25" t="e">
        <f>IF(AND('Mapa final'!#REF!="Media",'Mapa final'!#REF!="Catastrófico"),CONCATENATE("R7C",'Mapa final'!#REF!),"")</f>
        <v>#REF!</v>
      </c>
      <c r="AM32" s="26" t="e">
        <f>IF(AND('Mapa final'!#REF!="Media",'Mapa final'!#REF!="Catastrófico"),CONCATENATE("R7C",'Mapa final'!#REF!),"")</f>
        <v>#REF!</v>
      </c>
      <c r="AN32" s="1"/>
      <c r="AO32" s="261"/>
      <c r="AP32" s="201"/>
      <c r="AQ32" s="201"/>
      <c r="AR32" s="201"/>
      <c r="AS32" s="201"/>
      <c r="AT32" s="262"/>
    </row>
    <row r="33" spans="2:46" ht="15" customHeight="1" x14ac:dyDescent="0.25">
      <c r="B33" s="278"/>
      <c r="C33" s="201"/>
      <c r="D33" s="202"/>
      <c r="E33" s="213"/>
      <c r="F33" s="201"/>
      <c r="G33" s="201"/>
      <c r="H33" s="201"/>
      <c r="I33" s="202"/>
      <c r="J33" s="36" t="e">
        <f>IF(AND('Mapa final'!#REF!="Media",'Mapa final'!#REF!="Leve"),CONCATENATE("R8C",'Mapa final'!#REF!),"")</f>
        <v>#REF!</v>
      </c>
      <c r="K33" s="37" t="e">
        <f>IF(AND('Mapa final'!#REF!="Media",'Mapa final'!#REF!="Leve"),CONCATENATE("R8C",'Mapa final'!#REF!),"")</f>
        <v>#REF!</v>
      </c>
      <c r="L33" s="37" t="e">
        <f>IF(AND('Mapa final'!#REF!="Media",'Mapa final'!#REF!="Leve"),CONCATENATE("R8C",'Mapa final'!#REF!),"")</f>
        <v>#REF!</v>
      </c>
      <c r="M33" s="37" t="e">
        <f>IF(AND('Mapa final'!#REF!="Media",'Mapa final'!#REF!="Leve"),CONCATENATE("R8C",'Mapa final'!#REF!),"")</f>
        <v>#REF!</v>
      </c>
      <c r="N33" s="37" t="e">
        <f>IF(AND('Mapa final'!#REF!="Media",'Mapa final'!#REF!="Leve"),CONCATENATE("R8C",'Mapa final'!#REF!),"")</f>
        <v>#REF!</v>
      </c>
      <c r="O33" s="38" t="e">
        <f>IF(AND('Mapa final'!#REF!="Media",'Mapa final'!#REF!="Leve"),CONCATENATE("R8C",'Mapa final'!#REF!),"")</f>
        <v>#REF!</v>
      </c>
      <c r="P33" s="36" t="e">
        <f>IF(AND('Mapa final'!#REF!="Media",'Mapa final'!#REF!="Menor"),CONCATENATE("R8C",'Mapa final'!#REF!),"")</f>
        <v>#REF!</v>
      </c>
      <c r="Q33" s="37" t="e">
        <f>IF(AND('Mapa final'!#REF!="Media",'Mapa final'!#REF!="Menor"),CONCATENATE("R8C",'Mapa final'!#REF!),"")</f>
        <v>#REF!</v>
      </c>
      <c r="R33" s="37" t="e">
        <f>IF(AND('Mapa final'!#REF!="Media",'Mapa final'!#REF!="Menor"),CONCATENATE("R8C",'Mapa final'!#REF!),"")</f>
        <v>#REF!</v>
      </c>
      <c r="S33" s="37" t="e">
        <f>IF(AND('Mapa final'!#REF!="Media",'Mapa final'!#REF!="Menor"),CONCATENATE("R8C",'Mapa final'!#REF!),"")</f>
        <v>#REF!</v>
      </c>
      <c r="T33" s="37" t="e">
        <f>IF(AND('Mapa final'!#REF!="Media",'Mapa final'!#REF!="Menor"),CONCATENATE("R8C",'Mapa final'!#REF!),"")</f>
        <v>#REF!</v>
      </c>
      <c r="U33" s="38" t="e">
        <f>IF(AND('Mapa final'!#REF!="Media",'Mapa final'!#REF!="Menor"),CONCATENATE("R8C",'Mapa final'!#REF!),"")</f>
        <v>#REF!</v>
      </c>
      <c r="V33" s="36" t="e">
        <f>IF(AND('Mapa final'!#REF!="Media",'Mapa final'!#REF!="Moderado"),CONCATENATE("R8C",'Mapa final'!#REF!),"")</f>
        <v>#REF!</v>
      </c>
      <c r="W33" s="37" t="e">
        <f>IF(AND('Mapa final'!#REF!="Media",'Mapa final'!#REF!="Moderado"),CONCATENATE("R8C",'Mapa final'!#REF!),"")</f>
        <v>#REF!</v>
      </c>
      <c r="X33" s="37" t="e">
        <f>IF(AND('Mapa final'!#REF!="Media",'Mapa final'!#REF!="Moderado"),CONCATENATE("R8C",'Mapa final'!#REF!),"")</f>
        <v>#REF!</v>
      </c>
      <c r="Y33" s="37" t="e">
        <f>IF(AND('Mapa final'!#REF!="Media",'Mapa final'!#REF!="Moderado"),CONCATENATE("R8C",'Mapa final'!#REF!),"")</f>
        <v>#REF!</v>
      </c>
      <c r="Z33" s="37" t="e">
        <f>IF(AND('Mapa final'!#REF!="Media",'Mapa final'!#REF!="Moderado"),CONCATENATE("R8C",'Mapa final'!#REF!),"")</f>
        <v>#REF!</v>
      </c>
      <c r="AA33" s="38" t="e">
        <f>IF(AND('Mapa final'!#REF!="Media",'Mapa final'!#REF!="Moderado"),CONCATENATE("R8C",'Mapa final'!#REF!),"")</f>
        <v>#REF!</v>
      </c>
      <c r="AB33" s="21" t="e">
        <f>IF(AND('Mapa final'!#REF!="Media",'Mapa final'!#REF!="Mayor"),CONCATENATE("R8C",'Mapa final'!#REF!),"")</f>
        <v>#REF!</v>
      </c>
      <c r="AC33" s="22" t="e">
        <f>IF(AND('Mapa final'!#REF!="Media",'Mapa final'!#REF!="Mayor"),CONCATENATE("R8C",'Mapa final'!#REF!),"")</f>
        <v>#REF!</v>
      </c>
      <c r="AD33" s="22" t="e">
        <f>IF(AND('Mapa final'!#REF!="Media",'Mapa final'!#REF!="Mayor"),CONCATENATE("R8C",'Mapa final'!#REF!),"")</f>
        <v>#REF!</v>
      </c>
      <c r="AE33" s="22" t="e">
        <f>IF(AND('Mapa final'!#REF!="Media",'Mapa final'!#REF!="Mayor"),CONCATENATE("R8C",'Mapa final'!#REF!),"")</f>
        <v>#REF!</v>
      </c>
      <c r="AF33" s="22" t="e">
        <f>IF(AND('Mapa final'!#REF!="Media",'Mapa final'!#REF!="Mayor"),CONCATENATE("R8C",'Mapa final'!#REF!),"")</f>
        <v>#REF!</v>
      </c>
      <c r="AG33" s="23" t="e">
        <f>IF(AND('Mapa final'!#REF!="Media",'Mapa final'!#REF!="Mayor"),CONCATENATE("R8C",'Mapa final'!#REF!),"")</f>
        <v>#REF!</v>
      </c>
      <c r="AH33" s="24" t="e">
        <f>IF(AND('Mapa final'!#REF!="Media",'Mapa final'!#REF!="Catastrófico"),CONCATENATE("R8C",'Mapa final'!#REF!),"")</f>
        <v>#REF!</v>
      </c>
      <c r="AI33" s="25" t="e">
        <f>IF(AND('Mapa final'!#REF!="Media",'Mapa final'!#REF!="Catastrófico"),CONCATENATE("R8C",'Mapa final'!#REF!),"")</f>
        <v>#REF!</v>
      </c>
      <c r="AJ33" s="25" t="e">
        <f>IF(AND('Mapa final'!#REF!="Media",'Mapa final'!#REF!="Catastrófico"),CONCATENATE("R8C",'Mapa final'!#REF!),"")</f>
        <v>#REF!</v>
      </c>
      <c r="AK33" s="25" t="e">
        <f>IF(AND('Mapa final'!#REF!="Media",'Mapa final'!#REF!="Catastrófico"),CONCATENATE("R8C",'Mapa final'!#REF!),"")</f>
        <v>#REF!</v>
      </c>
      <c r="AL33" s="25" t="e">
        <f>IF(AND('Mapa final'!#REF!="Media",'Mapa final'!#REF!="Catastrófico"),CONCATENATE("R8C",'Mapa final'!#REF!),"")</f>
        <v>#REF!</v>
      </c>
      <c r="AM33" s="26" t="e">
        <f>IF(AND('Mapa final'!#REF!="Media",'Mapa final'!#REF!="Catastrófico"),CONCATENATE("R8C",'Mapa final'!#REF!),"")</f>
        <v>#REF!</v>
      </c>
      <c r="AN33" s="1"/>
      <c r="AO33" s="261"/>
      <c r="AP33" s="201"/>
      <c r="AQ33" s="201"/>
      <c r="AR33" s="201"/>
      <c r="AS33" s="201"/>
      <c r="AT33" s="262"/>
    </row>
    <row r="34" spans="2:46" ht="15" customHeight="1" x14ac:dyDescent="0.25">
      <c r="B34" s="278"/>
      <c r="C34" s="201"/>
      <c r="D34" s="202"/>
      <c r="E34" s="213"/>
      <c r="F34" s="201"/>
      <c r="G34" s="201"/>
      <c r="H34" s="201"/>
      <c r="I34" s="202"/>
      <c r="J34" s="36" t="e">
        <f>IF(AND('Mapa final'!#REF!="Media",'Mapa final'!#REF!="Leve"),CONCATENATE("R9C",'Mapa final'!#REF!),"")</f>
        <v>#REF!</v>
      </c>
      <c r="K34" s="37" t="e">
        <f>IF(AND('Mapa final'!#REF!="Media",'Mapa final'!#REF!="Leve"),CONCATENATE("R9C",'Mapa final'!#REF!),"")</f>
        <v>#REF!</v>
      </c>
      <c r="L34" s="37" t="e">
        <f>IF(AND('Mapa final'!#REF!="Media",'Mapa final'!#REF!="Leve"),CONCATENATE("R9C",'Mapa final'!#REF!),"")</f>
        <v>#REF!</v>
      </c>
      <c r="M34" s="37" t="e">
        <f>IF(AND('Mapa final'!#REF!="Media",'Mapa final'!#REF!="Leve"),CONCATENATE("R9C",'Mapa final'!#REF!),"")</f>
        <v>#REF!</v>
      </c>
      <c r="N34" s="37" t="e">
        <f>IF(AND('Mapa final'!#REF!="Media",'Mapa final'!#REF!="Leve"),CONCATENATE("R9C",'Mapa final'!#REF!),"")</f>
        <v>#REF!</v>
      </c>
      <c r="O34" s="38" t="e">
        <f>IF(AND('Mapa final'!#REF!="Media",'Mapa final'!#REF!="Leve"),CONCATENATE("R9C",'Mapa final'!#REF!),"")</f>
        <v>#REF!</v>
      </c>
      <c r="P34" s="36" t="e">
        <f>IF(AND('Mapa final'!#REF!="Media",'Mapa final'!#REF!="Menor"),CONCATENATE("R9C",'Mapa final'!#REF!),"")</f>
        <v>#REF!</v>
      </c>
      <c r="Q34" s="37" t="e">
        <f>IF(AND('Mapa final'!#REF!="Media",'Mapa final'!#REF!="Menor"),CONCATENATE("R9C",'Mapa final'!#REF!),"")</f>
        <v>#REF!</v>
      </c>
      <c r="R34" s="37" t="e">
        <f>IF(AND('Mapa final'!#REF!="Media",'Mapa final'!#REF!="Menor"),CONCATENATE("R9C",'Mapa final'!#REF!),"")</f>
        <v>#REF!</v>
      </c>
      <c r="S34" s="37" t="e">
        <f>IF(AND('Mapa final'!#REF!="Media",'Mapa final'!#REF!="Menor"),CONCATENATE("R9C",'Mapa final'!#REF!),"")</f>
        <v>#REF!</v>
      </c>
      <c r="T34" s="37" t="e">
        <f>IF(AND('Mapa final'!#REF!="Media",'Mapa final'!#REF!="Menor"),CONCATENATE("R9C",'Mapa final'!#REF!),"")</f>
        <v>#REF!</v>
      </c>
      <c r="U34" s="38" t="e">
        <f>IF(AND('Mapa final'!#REF!="Media",'Mapa final'!#REF!="Menor"),CONCATENATE("R9C",'Mapa final'!#REF!),"")</f>
        <v>#REF!</v>
      </c>
      <c r="V34" s="36" t="e">
        <f>IF(AND('Mapa final'!#REF!="Media",'Mapa final'!#REF!="Moderado"),CONCATENATE("R9C",'Mapa final'!#REF!),"")</f>
        <v>#REF!</v>
      </c>
      <c r="W34" s="37" t="e">
        <f>IF(AND('Mapa final'!#REF!="Media",'Mapa final'!#REF!="Moderado"),CONCATENATE("R9C",'Mapa final'!#REF!),"")</f>
        <v>#REF!</v>
      </c>
      <c r="X34" s="37" t="e">
        <f>IF(AND('Mapa final'!#REF!="Media",'Mapa final'!#REF!="Moderado"),CONCATENATE("R9C",'Mapa final'!#REF!),"")</f>
        <v>#REF!</v>
      </c>
      <c r="Y34" s="37" t="e">
        <f>IF(AND('Mapa final'!#REF!="Media",'Mapa final'!#REF!="Moderado"),CONCATENATE("R9C",'Mapa final'!#REF!),"")</f>
        <v>#REF!</v>
      </c>
      <c r="Z34" s="37" t="e">
        <f>IF(AND('Mapa final'!#REF!="Media",'Mapa final'!#REF!="Moderado"),CONCATENATE("R9C",'Mapa final'!#REF!),"")</f>
        <v>#REF!</v>
      </c>
      <c r="AA34" s="38" t="e">
        <f>IF(AND('Mapa final'!#REF!="Media",'Mapa final'!#REF!="Moderado"),CONCATENATE("R9C",'Mapa final'!#REF!),"")</f>
        <v>#REF!</v>
      </c>
      <c r="AB34" s="21" t="e">
        <f>IF(AND('Mapa final'!#REF!="Media",'Mapa final'!#REF!="Mayor"),CONCATENATE("R9C",'Mapa final'!#REF!),"")</f>
        <v>#REF!</v>
      </c>
      <c r="AC34" s="22" t="e">
        <f>IF(AND('Mapa final'!#REF!="Media",'Mapa final'!#REF!="Mayor"),CONCATENATE("R9C",'Mapa final'!#REF!),"")</f>
        <v>#REF!</v>
      </c>
      <c r="AD34" s="22" t="e">
        <f>IF(AND('Mapa final'!#REF!="Media",'Mapa final'!#REF!="Mayor"),CONCATENATE("R9C",'Mapa final'!#REF!),"")</f>
        <v>#REF!</v>
      </c>
      <c r="AE34" s="22" t="e">
        <f>IF(AND('Mapa final'!#REF!="Media",'Mapa final'!#REF!="Mayor"),CONCATENATE("R9C",'Mapa final'!#REF!),"")</f>
        <v>#REF!</v>
      </c>
      <c r="AF34" s="22" t="e">
        <f>IF(AND('Mapa final'!#REF!="Media",'Mapa final'!#REF!="Mayor"),CONCATENATE("R9C",'Mapa final'!#REF!),"")</f>
        <v>#REF!</v>
      </c>
      <c r="AG34" s="23" t="e">
        <f>IF(AND('Mapa final'!#REF!="Media",'Mapa final'!#REF!="Mayor"),CONCATENATE("R9C",'Mapa final'!#REF!),"")</f>
        <v>#REF!</v>
      </c>
      <c r="AH34" s="24" t="e">
        <f>IF(AND('Mapa final'!#REF!="Media",'Mapa final'!#REF!="Catastrófico"),CONCATENATE("R9C",'Mapa final'!#REF!),"")</f>
        <v>#REF!</v>
      </c>
      <c r="AI34" s="25" t="e">
        <f>IF(AND('Mapa final'!#REF!="Media",'Mapa final'!#REF!="Catastrófico"),CONCATENATE("R9C",'Mapa final'!#REF!),"")</f>
        <v>#REF!</v>
      </c>
      <c r="AJ34" s="25" t="e">
        <f>IF(AND('Mapa final'!#REF!="Media",'Mapa final'!#REF!="Catastrófico"),CONCATENATE("R9C",'Mapa final'!#REF!),"")</f>
        <v>#REF!</v>
      </c>
      <c r="AK34" s="25" t="e">
        <f>IF(AND('Mapa final'!#REF!="Media",'Mapa final'!#REF!="Catastrófico"),CONCATENATE("R9C",'Mapa final'!#REF!),"")</f>
        <v>#REF!</v>
      </c>
      <c r="AL34" s="25" t="e">
        <f>IF(AND('Mapa final'!#REF!="Media",'Mapa final'!#REF!="Catastrófico"),CONCATENATE("R9C",'Mapa final'!#REF!),"")</f>
        <v>#REF!</v>
      </c>
      <c r="AM34" s="26" t="e">
        <f>IF(AND('Mapa final'!#REF!="Media",'Mapa final'!#REF!="Catastrófico"),CONCATENATE("R9C",'Mapa final'!#REF!),"")</f>
        <v>#REF!</v>
      </c>
      <c r="AN34" s="1"/>
      <c r="AO34" s="261"/>
      <c r="AP34" s="201"/>
      <c r="AQ34" s="201"/>
      <c r="AR34" s="201"/>
      <c r="AS34" s="201"/>
      <c r="AT34" s="262"/>
    </row>
    <row r="35" spans="2:46" ht="15.75" customHeight="1" x14ac:dyDescent="0.25">
      <c r="B35" s="278"/>
      <c r="C35" s="201"/>
      <c r="D35" s="202"/>
      <c r="E35" s="247"/>
      <c r="F35" s="271"/>
      <c r="G35" s="271"/>
      <c r="H35" s="271"/>
      <c r="I35" s="250"/>
      <c r="J35" s="36" t="e">
        <f>IF(AND('Mapa final'!#REF!="Media",'Mapa final'!#REF!="Leve"),CONCATENATE("R10C",'Mapa final'!#REF!),"")</f>
        <v>#REF!</v>
      </c>
      <c r="K35" s="37" t="e">
        <f>IF(AND('Mapa final'!#REF!="Media",'Mapa final'!#REF!="Leve"),CONCATENATE("R10C",'Mapa final'!#REF!),"")</f>
        <v>#REF!</v>
      </c>
      <c r="L35" s="37" t="e">
        <f>IF(AND('Mapa final'!#REF!="Media",'Mapa final'!#REF!="Leve"),CONCATENATE("R10C",'Mapa final'!#REF!),"")</f>
        <v>#REF!</v>
      </c>
      <c r="M35" s="37" t="e">
        <f>IF(AND('Mapa final'!#REF!="Media",'Mapa final'!#REF!="Leve"),CONCATENATE("R10C",'Mapa final'!#REF!),"")</f>
        <v>#REF!</v>
      </c>
      <c r="N35" s="37" t="e">
        <f>IF(AND('Mapa final'!#REF!="Media",'Mapa final'!#REF!="Leve"),CONCATENATE("R10C",'Mapa final'!#REF!),"")</f>
        <v>#REF!</v>
      </c>
      <c r="O35" s="38" t="e">
        <f>IF(AND('Mapa final'!#REF!="Media",'Mapa final'!#REF!="Leve"),CONCATENATE("R10C",'Mapa final'!#REF!),"")</f>
        <v>#REF!</v>
      </c>
      <c r="P35" s="36" t="e">
        <f>IF(AND('Mapa final'!#REF!="Media",'Mapa final'!#REF!="Menor"),CONCATENATE("R10C",'Mapa final'!#REF!),"")</f>
        <v>#REF!</v>
      </c>
      <c r="Q35" s="37" t="e">
        <f>IF(AND('Mapa final'!#REF!="Media",'Mapa final'!#REF!="Menor"),CONCATENATE("R10C",'Mapa final'!#REF!),"")</f>
        <v>#REF!</v>
      </c>
      <c r="R35" s="37" t="e">
        <f>IF(AND('Mapa final'!#REF!="Media",'Mapa final'!#REF!="Menor"),CONCATENATE("R10C",'Mapa final'!#REF!),"")</f>
        <v>#REF!</v>
      </c>
      <c r="S35" s="37" t="e">
        <f>IF(AND('Mapa final'!#REF!="Media",'Mapa final'!#REF!="Menor"),CONCATENATE("R10C",'Mapa final'!#REF!),"")</f>
        <v>#REF!</v>
      </c>
      <c r="T35" s="37" t="e">
        <f>IF(AND('Mapa final'!#REF!="Media",'Mapa final'!#REF!="Menor"),CONCATENATE("R10C",'Mapa final'!#REF!),"")</f>
        <v>#REF!</v>
      </c>
      <c r="U35" s="38" t="e">
        <f>IF(AND('Mapa final'!#REF!="Media",'Mapa final'!#REF!="Menor"),CONCATENATE("R10C",'Mapa final'!#REF!),"")</f>
        <v>#REF!</v>
      </c>
      <c r="V35" s="36" t="e">
        <f>IF(AND('Mapa final'!#REF!="Media",'Mapa final'!#REF!="Moderado"),CONCATENATE("R10C",'Mapa final'!#REF!),"")</f>
        <v>#REF!</v>
      </c>
      <c r="W35" s="37" t="e">
        <f>IF(AND('Mapa final'!#REF!="Media",'Mapa final'!#REF!="Moderado"),CONCATENATE("R10C",'Mapa final'!#REF!),"")</f>
        <v>#REF!</v>
      </c>
      <c r="X35" s="37" t="e">
        <f>IF(AND('Mapa final'!#REF!="Media",'Mapa final'!#REF!="Moderado"),CONCATENATE("R10C",'Mapa final'!#REF!),"")</f>
        <v>#REF!</v>
      </c>
      <c r="Y35" s="37" t="e">
        <f>IF(AND('Mapa final'!#REF!="Media",'Mapa final'!#REF!="Moderado"),CONCATENATE("R10C",'Mapa final'!#REF!),"")</f>
        <v>#REF!</v>
      </c>
      <c r="Z35" s="37" t="e">
        <f>IF(AND('Mapa final'!#REF!="Media",'Mapa final'!#REF!="Moderado"),CONCATENATE("R10C",'Mapa final'!#REF!),"")</f>
        <v>#REF!</v>
      </c>
      <c r="AA35" s="38" t="e">
        <f>IF(AND('Mapa final'!#REF!="Media",'Mapa final'!#REF!="Moderado"),CONCATENATE("R10C",'Mapa final'!#REF!),"")</f>
        <v>#REF!</v>
      </c>
      <c r="AB35" s="27" t="e">
        <f>IF(AND('Mapa final'!#REF!="Media",'Mapa final'!#REF!="Mayor"),CONCATENATE("R10C",'Mapa final'!#REF!),"")</f>
        <v>#REF!</v>
      </c>
      <c r="AC35" s="28" t="e">
        <f>IF(AND('Mapa final'!#REF!="Media",'Mapa final'!#REF!="Mayor"),CONCATENATE("R10C",'Mapa final'!#REF!),"")</f>
        <v>#REF!</v>
      </c>
      <c r="AD35" s="28" t="e">
        <f>IF(AND('Mapa final'!#REF!="Media",'Mapa final'!#REF!="Mayor"),CONCATENATE("R10C",'Mapa final'!#REF!),"")</f>
        <v>#REF!</v>
      </c>
      <c r="AE35" s="28" t="e">
        <f>IF(AND('Mapa final'!#REF!="Media",'Mapa final'!#REF!="Mayor"),CONCATENATE("R10C",'Mapa final'!#REF!),"")</f>
        <v>#REF!</v>
      </c>
      <c r="AF35" s="28" t="e">
        <f>IF(AND('Mapa final'!#REF!="Media",'Mapa final'!#REF!="Mayor"),CONCATENATE("R10C",'Mapa final'!#REF!),"")</f>
        <v>#REF!</v>
      </c>
      <c r="AG35" s="29" t="e">
        <f>IF(AND('Mapa final'!#REF!="Media",'Mapa final'!#REF!="Mayor"),CONCATENATE("R10C",'Mapa final'!#REF!),"")</f>
        <v>#REF!</v>
      </c>
      <c r="AH35" s="30" t="e">
        <f>IF(AND('Mapa final'!#REF!="Media",'Mapa final'!#REF!="Catastrófico"),CONCATENATE("R10C",'Mapa final'!#REF!),"")</f>
        <v>#REF!</v>
      </c>
      <c r="AI35" s="31" t="e">
        <f>IF(AND('Mapa final'!#REF!="Media",'Mapa final'!#REF!="Catastrófico"),CONCATENATE("R10C",'Mapa final'!#REF!),"")</f>
        <v>#REF!</v>
      </c>
      <c r="AJ35" s="31" t="e">
        <f>IF(AND('Mapa final'!#REF!="Media",'Mapa final'!#REF!="Catastrófico"),CONCATENATE("R10C",'Mapa final'!#REF!),"")</f>
        <v>#REF!</v>
      </c>
      <c r="AK35" s="31" t="e">
        <f>IF(AND('Mapa final'!#REF!="Media",'Mapa final'!#REF!="Catastrófico"),CONCATENATE("R10C",'Mapa final'!#REF!),"")</f>
        <v>#REF!</v>
      </c>
      <c r="AL35" s="31" t="e">
        <f>IF(AND('Mapa final'!#REF!="Media",'Mapa final'!#REF!="Catastrófico"),CONCATENATE("R10C",'Mapa final'!#REF!),"")</f>
        <v>#REF!</v>
      </c>
      <c r="AM35" s="32" t="e">
        <f>IF(AND('Mapa final'!#REF!="Media",'Mapa final'!#REF!="Catastrófico"),CONCATENATE("R10C",'Mapa final'!#REF!),"")</f>
        <v>#REF!</v>
      </c>
      <c r="AN35" s="1"/>
      <c r="AO35" s="263"/>
      <c r="AP35" s="264"/>
      <c r="AQ35" s="264"/>
      <c r="AR35" s="264"/>
      <c r="AS35" s="264"/>
      <c r="AT35" s="265"/>
    </row>
    <row r="36" spans="2:46" ht="15" customHeight="1" x14ac:dyDescent="0.25">
      <c r="B36" s="278"/>
      <c r="C36" s="201"/>
      <c r="D36" s="202"/>
      <c r="E36" s="286" t="s">
        <v>101</v>
      </c>
      <c r="F36" s="270"/>
      <c r="G36" s="270"/>
      <c r="H36" s="270"/>
      <c r="I36" s="270"/>
      <c r="J36" s="42" t="str">
        <f>IF(AND('Mapa final'!$Y$16="Baja",'Mapa final'!$AA$16="Leve"),CONCATENATE("R1C",'Mapa final'!$O$16),"")</f>
        <v/>
      </c>
      <c r="K36" s="43" t="str">
        <f>IF(AND('Mapa final'!$Y$17="Baja",'Mapa final'!$AA$17="Leve"),CONCATENATE("R1C",'Mapa final'!$O$17),"")</f>
        <v/>
      </c>
      <c r="L36" s="43" t="str">
        <f>IF(AND('Mapa final'!$Y$18="Baja",'Mapa final'!$AA$18="Leve"),CONCATENATE("R1C",'Mapa final'!$O$18),"")</f>
        <v/>
      </c>
      <c r="M36" s="43" t="e">
        <f>IF(AND('Mapa final'!#REF!="Baja",'Mapa final'!#REF!="Leve"),CONCATENATE("R1C",'Mapa final'!#REF!),"")</f>
        <v>#REF!</v>
      </c>
      <c r="N36" s="43" t="e">
        <f>IF(AND('Mapa final'!#REF!="Baja",'Mapa final'!#REF!="Leve"),CONCATENATE("R1C",'Mapa final'!#REF!),"")</f>
        <v>#REF!</v>
      </c>
      <c r="O36" s="44" t="e">
        <f>IF(AND('Mapa final'!#REF!="Baja",'Mapa final'!#REF!="Leve"),CONCATENATE("R1C",'Mapa final'!#REF!),"")</f>
        <v>#REF!</v>
      </c>
      <c r="P36" s="33" t="str">
        <f>IF(AND('Mapa final'!$Y$16="Baja",'Mapa final'!$AA$16="Menor"),CONCATENATE("R1C",'Mapa final'!$O$16),"")</f>
        <v/>
      </c>
      <c r="Q36" s="34" t="str">
        <f>IF(AND('Mapa final'!$Y$17="Baja",'Mapa final'!$AA$17="Menor"),CONCATENATE("R1C",'Mapa final'!$O$17),"")</f>
        <v/>
      </c>
      <c r="R36" s="34" t="str">
        <f>IF(AND('Mapa final'!$Y$18="Baja",'Mapa final'!$AA$18="Menor"),CONCATENATE("R1C",'Mapa final'!$O$18),"")</f>
        <v/>
      </c>
      <c r="S36" s="34" t="e">
        <f>IF(AND('Mapa final'!#REF!="Baja",'Mapa final'!#REF!="Menor"),CONCATENATE("R1C",'Mapa final'!#REF!),"")</f>
        <v>#REF!</v>
      </c>
      <c r="T36" s="34" t="e">
        <f>IF(AND('Mapa final'!#REF!="Baja",'Mapa final'!#REF!="Menor"),CONCATENATE("R1C",'Mapa final'!#REF!),"")</f>
        <v>#REF!</v>
      </c>
      <c r="U36" s="35" t="e">
        <f>IF(AND('Mapa final'!#REF!="Baja",'Mapa final'!#REF!="Menor"),CONCATENATE("R1C",'Mapa final'!#REF!),"")</f>
        <v>#REF!</v>
      </c>
      <c r="V36" s="33" t="str">
        <f>IF(AND('Mapa final'!$Y$16="Baja",'Mapa final'!$AA$16="Moderado"),CONCATENATE("R1C",'Mapa final'!$O$16),"")</f>
        <v/>
      </c>
      <c r="W36" s="34" t="str">
        <f>IF(AND('Mapa final'!$Y$17="Baja",'Mapa final'!$AA$17="Moderado"),CONCATENATE("R1C",'Mapa final'!$O$17),"")</f>
        <v/>
      </c>
      <c r="X36" s="34" t="str">
        <f>IF(AND('Mapa final'!$Y$18="Baja",'Mapa final'!$AA$18="Moderado"),CONCATENATE("R1C",'Mapa final'!$O$18),"")</f>
        <v/>
      </c>
      <c r="Y36" s="34" t="e">
        <f>IF(AND('Mapa final'!#REF!="Baja",'Mapa final'!#REF!="Moderado"),CONCATENATE("R1C",'Mapa final'!#REF!),"")</f>
        <v>#REF!</v>
      </c>
      <c r="Z36" s="34" t="e">
        <f>IF(AND('Mapa final'!#REF!="Baja",'Mapa final'!#REF!="Moderado"),CONCATENATE("R1C",'Mapa final'!#REF!),"")</f>
        <v>#REF!</v>
      </c>
      <c r="AA36" s="35" t="e">
        <f>IF(AND('Mapa final'!#REF!="Baja",'Mapa final'!#REF!="Moderado"),CONCATENATE("R1C",'Mapa final'!#REF!),"")</f>
        <v>#REF!</v>
      </c>
      <c r="AB36" s="15" t="str">
        <f>IF(AND('Mapa final'!$Y$16="Baja",'Mapa final'!$AA$16="Mayor"),CONCATENATE("R1C",'Mapa final'!$O$16),"")</f>
        <v/>
      </c>
      <c r="AC36" s="16" t="str">
        <f>IF(AND('Mapa final'!$Y$17="Baja",'Mapa final'!$AA$17="Mayor"),CONCATENATE("R1C",'Mapa final'!$O$17),"")</f>
        <v/>
      </c>
      <c r="AD36" s="16" t="str">
        <f>IF(AND('Mapa final'!$Y$18="Baja",'Mapa final'!$AA$18="Mayor"),CONCATENATE("R1C",'Mapa final'!$O$18),"")</f>
        <v/>
      </c>
      <c r="AE36" s="16" t="e">
        <f>IF(AND('Mapa final'!#REF!="Baja",'Mapa final'!#REF!="Mayor"),CONCATENATE("R1C",'Mapa final'!#REF!),"")</f>
        <v>#REF!</v>
      </c>
      <c r="AF36" s="16" t="e">
        <f>IF(AND('Mapa final'!#REF!="Baja",'Mapa final'!#REF!="Mayor"),CONCATENATE("R1C",'Mapa final'!#REF!),"")</f>
        <v>#REF!</v>
      </c>
      <c r="AG36" s="17" t="e">
        <f>IF(AND('Mapa final'!#REF!="Baja",'Mapa final'!#REF!="Mayor"),CONCATENATE("R1C",'Mapa final'!#REF!),"")</f>
        <v>#REF!</v>
      </c>
      <c r="AH36" s="18" t="str">
        <f>IF(AND('Mapa final'!$Y$16="Baja",'Mapa final'!$AA$16="Catastrófico"),CONCATENATE("R1C",'Mapa final'!$O$16),"")</f>
        <v/>
      </c>
      <c r="AI36" s="19" t="str">
        <f>IF(AND('Mapa final'!$Y$17="Baja",'Mapa final'!$AA$17="Catastrófico"),CONCATENATE("R1C",'Mapa final'!$O$17),"")</f>
        <v>R1C2</v>
      </c>
      <c r="AJ36" s="19" t="str">
        <f>IF(AND('Mapa final'!$Y$18="Baja",'Mapa final'!$AA$18="Catastrófico"),CONCATENATE("R1C",'Mapa final'!$O$18),"")</f>
        <v>R1C3</v>
      </c>
      <c r="AK36" s="19" t="e">
        <f>IF(AND('Mapa final'!#REF!="Baja",'Mapa final'!#REF!="Catastrófico"),CONCATENATE("R1C",'Mapa final'!#REF!),"")</f>
        <v>#REF!</v>
      </c>
      <c r="AL36" s="19" t="e">
        <f>IF(AND('Mapa final'!#REF!="Baja",'Mapa final'!#REF!="Catastrófico"),CONCATENATE("R1C",'Mapa final'!#REF!),"")</f>
        <v>#REF!</v>
      </c>
      <c r="AM36" s="20" t="e">
        <f>IF(AND('Mapa final'!#REF!="Baja",'Mapa final'!#REF!="Catastrófico"),CONCATENATE("R1C",'Mapa final'!#REF!),"")</f>
        <v>#REF!</v>
      </c>
      <c r="AN36" s="1"/>
      <c r="AO36" s="285" t="s">
        <v>102</v>
      </c>
      <c r="AP36" s="259"/>
      <c r="AQ36" s="259"/>
      <c r="AR36" s="259"/>
      <c r="AS36" s="259"/>
      <c r="AT36" s="260"/>
    </row>
    <row r="37" spans="2:46" ht="15" customHeight="1" x14ac:dyDescent="0.25">
      <c r="B37" s="278"/>
      <c r="C37" s="201"/>
      <c r="D37" s="202"/>
      <c r="E37" s="213"/>
      <c r="F37" s="201"/>
      <c r="G37" s="201"/>
      <c r="H37" s="201"/>
      <c r="I37" s="201"/>
      <c r="J37" s="45" t="str">
        <f>IF(AND('Mapa final'!$Y$21="Baja",'Mapa final'!$AA$21="Leve"),CONCATENATE("R2C",'Mapa final'!$O$21),"")</f>
        <v/>
      </c>
      <c r="K37" s="46" t="e">
        <f>IF(AND('Mapa final'!#REF!="Baja",'Mapa final'!#REF!="Leve"),CONCATENATE("R2C",'Mapa final'!#REF!),"")</f>
        <v>#REF!</v>
      </c>
      <c r="L37" s="46" t="e">
        <f>IF(AND('Mapa final'!#REF!="Baja",'Mapa final'!#REF!="Leve"),CONCATENATE("R2C",'Mapa final'!#REF!),"")</f>
        <v>#REF!</v>
      </c>
      <c r="M37" s="46" t="e">
        <f>IF(AND('Mapa final'!#REF!="Baja",'Mapa final'!#REF!="Leve"),CONCATENATE("R2C",'Mapa final'!#REF!),"")</f>
        <v>#REF!</v>
      </c>
      <c r="N37" s="46" t="str">
        <f>IF(AND('Mapa final'!$Y$22="Baja",'Mapa final'!$AA$22="Leve"),CONCATENATE("R2C",'Mapa final'!$O$22),"")</f>
        <v/>
      </c>
      <c r="O37" s="47" t="str">
        <f>IF(AND('Mapa final'!$Y$23="Baja",'Mapa final'!$AA$23="Leve"),CONCATENATE("R2C",'Mapa final'!$O$23),"")</f>
        <v/>
      </c>
      <c r="P37" s="36" t="str">
        <f>IF(AND('Mapa final'!$Y$21="Baja",'Mapa final'!$AA$21="Menor"),CONCATENATE("R2C",'Mapa final'!$O$21),"")</f>
        <v/>
      </c>
      <c r="Q37" s="37" t="e">
        <f>IF(AND('Mapa final'!#REF!="Baja",'Mapa final'!#REF!="Menor"),CONCATENATE("R2C",'Mapa final'!#REF!),"")</f>
        <v>#REF!</v>
      </c>
      <c r="R37" s="37" t="e">
        <f>IF(AND('Mapa final'!#REF!="Baja",'Mapa final'!#REF!="Menor"),CONCATENATE("R2C",'Mapa final'!#REF!),"")</f>
        <v>#REF!</v>
      </c>
      <c r="S37" s="37" t="e">
        <f>IF(AND('Mapa final'!#REF!="Baja",'Mapa final'!#REF!="Menor"),CONCATENATE("R2C",'Mapa final'!#REF!),"")</f>
        <v>#REF!</v>
      </c>
      <c r="T37" s="37" t="str">
        <f>IF(AND('Mapa final'!$Y$22="Baja",'Mapa final'!$AA$22="Menor"),CONCATENATE("R2C",'Mapa final'!$O$22),"")</f>
        <v/>
      </c>
      <c r="U37" s="38" t="str">
        <f>IF(AND('Mapa final'!$Y$23="Baja",'Mapa final'!$AA$23="Menor"),CONCATENATE("R2C",'Mapa final'!$O$23),"")</f>
        <v/>
      </c>
      <c r="V37" s="36" t="str">
        <f>IF(AND('Mapa final'!$Y$21="Baja",'Mapa final'!$AA$21="Moderado"),CONCATENATE("R2C",'Mapa final'!$O$21),"")</f>
        <v/>
      </c>
      <c r="W37" s="37" t="e">
        <f>IF(AND('Mapa final'!#REF!="Baja",'Mapa final'!#REF!="Moderado"),CONCATENATE("R2C",'Mapa final'!#REF!),"")</f>
        <v>#REF!</v>
      </c>
      <c r="X37" s="37" t="e">
        <f>IF(AND('Mapa final'!#REF!="Baja",'Mapa final'!#REF!="Moderado"),CONCATENATE("R2C",'Mapa final'!#REF!),"")</f>
        <v>#REF!</v>
      </c>
      <c r="Y37" s="37" t="e">
        <f>IF(AND('Mapa final'!#REF!="Baja",'Mapa final'!#REF!="Moderado"),CONCATENATE("R2C",'Mapa final'!#REF!),"")</f>
        <v>#REF!</v>
      </c>
      <c r="Z37" s="37" t="str">
        <f>IF(AND('Mapa final'!$Y$22="Baja",'Mapa final'!$AA$22="Moderado"),CONCATENATE("R2C",'Mapa final'!$O$22),"")</f>
        <v/>
      </c>
      <c r="AA37" s="38" t="str">
        <f>IF(AND('Mapa final'!$Y$23="Baja",'Mapa final'!$AA$23="Moderado"),CONCATENATE("R2C",'Mapa final'!$O$23),"")</f>
        <v/>
      </c>
      <c r="AB37" s="21" t="str">
        <f>IF(AND('Mapa final'!$Y$21="Baja",'Mapa final'!$AA$21="Mayor"),CONCATENATE("R2C",'Mapa final'!$O$21),"")</f>
        <v/>
      </c>
      <c r="AC37" s="22" t="e">
        <f>IF(AND('Mapa final'!#REF!="Baja",'Mapa final'!#REF!="Mayor"),CONCATENATE("R2C",'Mapa final'!#REF!),"")</f>
        <v>#REF!</v>
      </c>
      <c r="AD37" s="22" t="e">
        <f>IF(AND('Mapa final'!#REF!="Baja",'Mapa final'!#REF!="Mayor"),CONCATENATE("R2C",'Mapa final'!#REF!),"")</f>
        <v>#REF!</v>
      </c>
      <c r="AE37" s="22" t="e">
        <f>IF(AND('Mapa final'!#REF!="Baja",'Mapa final'!#REF!="Mayor"),CONCATENATE("R2C",'Mapa final'!#REF!),"")</f>
        <v>#REF!</v>
      </c>
      <c r="AF37" s="22" t="str">
        <f>IF(AND('Mapa final'!$Y$22="Baja",'Mapa final'!$AA$22="Mayor"),CONCATENATE("R2C",'Mapa final'!$O$22),"")</f>
        <v>R2C2</v>
      </c>
      <c r="AG37" s="23" t="str">
        <f>IF(AND('Mapa final'!$Y$23="Baja",'Mapa final'!$AA$23="Mayor"),CONCATENATE("R2C",'Mapa final'!$O$23),"")</f>
        <v/>
      </c>
      <c r="AH37" s="24" t="str">
        <f>IF(AND('Mapa final'!$Y$21="Baja",'Mapa final'!$AA$21="Catastrófico"),CONCATENATE("R2C",'Mapa final'!$O$21),"")</f>
        <v/>
      </c>
      <c r="AI37" s="25" t="e">
        <f>IF(AND('Mapa final'!#REF!="Baja",'Mapa final'!#REF!="Catastrófico"),CONCATENATE("R2C",'Mapa final'!#REF!),"")</f>
        <v>#REF!</v>
      </c>
      <c r="AJ37" s="25" t="e">
        <f>IF(AND('Mapa final'!#REF!="Baja",'Mapa final'!#REF!="Catastrófico"),CONCATENATE("R2C",'Mapa final'!#REF!),"")</f>
        <v>#REF!</v>
      </c>
      <c r="AK37" s="25" t="e">
        <f>IF(AND('Mapa final'!#REF!="Baja",'Mapa final'!#REF!="Catastrófico"),CONCATENATE("R2C",'Mapa final'!#REF!),"")</f>
        <v>#REF!</v>
      </c>
      <c r="AL37" s="25" t="str">
        <f>IF(AND('Mapa final'!$Y$22="Baja",'Mapa final'!$AA$22="Catastrófico"),CONCATENATE("R2C",'Mapa final'!$O$22),"")</f>
        <v/>
      </c>
      <c r="AM37" s="26" t="str">
        <f>IF(AND('Mapa final'!$Y$23="Baja",'Mapa final'!$AA$23="Catastrófico"),CONCATENATE("R2C",'Mapa final'!$O$23),"")</f>
        <v/>
      </c>
      <c r="AN37" s="1"/>
      <c r="AO37" s="261"/>
      <c r="AP37" s="201"/>
      <c r="AQ37" s="201"/>
      <c r="AR37" s="201"/>
      <c r="AS37" s="201"/>
      <c r="AT37" s="262"/>
    </row>
    <row r="38" spans="2:46" ht="15" customHeight="1" x14ac:dyDescent="0.25">
      <c r="B38" s="278"/>
      <c r="C38" s="201"/>
      <c r="D38" s="202"/>
      <c r="E38" s="213"/>
      <c r="F38" s="201"/>
      <c r="G38" s="201"/>
      <c r="H38" s="201"/>
      <c r="I38" s="201"/>
      <c r="J38" s="45" t="str">
        <f>IF(AND('Mapa final'!$Y$26="Baja",'Mapa final'!$AA$26="Leve"),CONCATENATE("R3C",'Mapa final'!$O$26),"")</f>
        <v/>
      </c>
      <c r="K38" s="46" t="str">
        <f>IF(AND('Mapa final'!$Y$27="Baja",'Mapa final'!$AA$27="Leve"),CONCATENATE("R3C",'Mapa final'!$O$27),"")</f>
        <v/>
      </c>
      <c r="L38" s="46" t="str">
        <f>IF(AND('Mapa final'!$Y$28="Baja",'Mapa final'!$AA$28="Leve"),CONCATENATE("R3C",'Mapa final'!$O$28),"")</f>
        <v/>
      </c>
      <c r="M38" s="46" t="e">
        <f>IF(AND('Mapa final'!#REF!="Baja",'Mapa final'!#REF!="Leve"),CONCATENATE("R3C",'Mapa final'!#REF!),"")</f>
        <v>#REF!</v>
      </c>
      <c r="N38" s="46" t="e">
        <f>IF(AND('Mapa final'!#REF!="Baja",'Mapa final'!#REF!="Leve"),CONCATENATE("R3C",'Mapa final'!#REF!),"")</f>
        <v>#REF!</v>
      </c>
      <c r="O38" s="47" t="e">
        <f>IF(AND('Mapa final'!#REF!="Baja",'Mapa final'!#REF!="Leve"),CONCATENATE("R3C",'Mapa final'!#REF!),"")</f>
        <v>#REF!</v>
      </c>
      <c r="P38" s="36" t="str">
        <f>IF(AND('Mapa final'!$Y$26="Baja",'Mapa final'!$AA$26="Menor"),CONCATENATE("R3C",'Mapa final'!$O$26),"")</f>
        <v/>
      </c>
      <c r="Q38" s="37" t="str">
        <f>IF(AND('Mapa final'!$Y$27="Baja",'Mapa final'!$AA$27="Menor"),CONCATENATE("R3C",'Mapa final'!$O$27),"")</f>
        <v/>
      </c>
      <c r="R38" s="37" t="str">
        <f>IF(AND('Mapa final'!$Y$28="Baja",'Mapa final'!$AA$28="Menor"),CONCATENATE("R3C",'Mapa final'!$O$28),"")</f>
        <v/>
      </c>
      <c r="S38" s="37" t="e">
        <f>IF(AND('Mapa final'!#REF!="Baja",'Mapa final'!#REF!="Menor"),CONCATENATE("R3C",'Mapa final'!#REF!),"")</f>
        <v>#REF!</v>
      </c>
      <c r="T38" s="37" t="e">
        <f>IF(AND('Mapa final'!#REF!="Baja",'Mapa final'!#REF!="Menor"),CONCATENATE("R3C",'Mapa final'!#REF!),"")</f>
        <v>#REF!</v>
      </c>
      <c r="U38" s="38" t="e">
        <f>IF(AND('Mapa final'!#REF!="Baja",'Mapa final'!#REF!="Menor"),CONCATENATE("R3C",'Mapa final'!#REF!),"")</f>
        <v>#REF!</v>
      </c>
      <c r="V38" s="36" t="str">
        <f>IF(AND('Mapa final'!$Y$26="Baja",'Mapa final'!$AA$26="Moderado"),CONCATENATE("R3C",'Mapa final'!$O$26),"")</f>
        <v/>
      </c>
      <c r="W38" s="37" t="str">
        <f>IF(AND('Mapa final'!$Y$27="Baja",'Mapa final'!$AA$27="Moderado"),CONCATENATE("R3C",'Mapa final'!$O$27),"")</f>
        <v/>
      </c>
      <c r="X38" s="37" t="str">
        <f>IF(AND('Mapa final'!$Y$28="Baja",'Mapa final'!$AA$28="Moderado"),CONCATENATE("R3C",'Mapa final'!$O$28),"")</f>
        <v/>
      </c>
      <c r="Y38" s="37" t="e">
        <f>IF(AND('Mapa final'!#REF!="Baja",'Mapa final'!#REF!="Moderado"),CONCATENATE("R3C",'Mapa final'!#REF!),"")</f>
        <v>#REF!</v>
      </c>
      <c r="Z38" s="37" t="e">
        <f>IF(AND('Mapa final'!#REF!="Baja",'Mapa final'!#REF!="Moderado"),CONCATENATE("R3C",'Mapa final'!#REF!),"")</f>
        <v>#REF!</v>
      </c>
      <c r="AA38" s="38" t="e">
        <f>IF(AND('Mapa final'!#REF!="Baja",'Mapa final'!#REF!="Moderado"),CONCATENATE("R3C",'Mapa final'!#REF!),"")</f>
        <v>#REF!</v>
      </c>
      <c r="AB38" s="21" t="str">
        <f>IF(AND('Mapa final'!$Y$26="Baja",'Mapa final'!$AA$26="Mayor"),CONCATENATE("R3C",'Mapa final'!$O$26),"")</f>
        <v/>
      </c>
      <c r="AC38" s="22" t="str">
        <f>IF(AND('Mapa final'!$Y$27="Baja",'Mapa final'!$AA$27="Mayor"),CONCATENATE("R3C",'Mapa final'!$O$27),"")</f>
        <v>R3C2</v>
      </c>
      <c r="AD38" s="22" t="str">
        <f>IF(AND('Mapa final'!$Y$28="Baja",'Mapa final'!$AA$28="Mayor"),CONCATENATE("R3C",'Mapa final'!$O$28),"")</f>
        <v/>
      </c>
      <c r="AE38" s="22" t="e">
        <f>IF(AND('Mapa final'!#REF!="Baja",'Mapa final'!#REF!="Mayor"),CONCATENATE("R3C",'Mapa final'!#REF!),"")</f>
        <v>#REF!</v>
      </c>
      <c r="AF38" s="22" t="e">
        <f>IF(AND('Mapa final'!#REF!="Baja",'Mapa final'!#REF!="Mayor"),CONCATENATE("R3C",'Mapa final'!#REF!),"")</f>
        <v>#REF!</v>
      </c>
      <c r="AG38" s="23" t="e">
        <f>IF(AND('Mapa final'!#REF!="Baja",'Mapa final'!#REF!="Mayor"),CONCATENATE("R3C",'Mapa final'!#REF!),"")</f>
        <v>#REF!</v>
      </c>
      <c r="AH38" s="24" t="str">
        <f>IF(AND('Mapa final'!$Y$26="Baja",'Mapa final'!$AA$26="Catastrófico"),CONCATENATE("R3C",'Mapa final'!$O$26),"")</f>
        <v/>
      </c>
      <c r="AI38" s="25" t="str">
        <f>IF(AND('Mapa final'!$Y$27="Baja",'Mapa final'!$AA$27="Catastrófico"),CONCATENATE("R3C",'Mapa final'!$O$27),"")</f>
        <v/>
      </c>
      <c r="AJ38" s="25" t="str">
        <f>IF(AND('Mapa final'!$Y$28="Baja",'Mapa final'!$AA$28="Catastrófico"),CONCATENATE("R3C",'Mapa final'!$O$28),"")</f>
        <v/>
      </c>
      <c r="AK38" s="25" t="e">
        <f>IF(AND('Mapa final'!#REF!="Baja",'Mapa final'!#REF!="Catastrófico"),CONCATENATE("R3C",'Mapa final'!#REF!),"")</f>
        <v>#REF!</v>
      </c>
      <c r="AL38" s="25" t="e">
        <f>IF(AND('Mapa final'!#REF!="Baja",'Mapa final'!#REF!="Catastrófico"),CONCATENATE("R3C",'Mapa final'!#REF!),"")</f>
        <v>#REF!</v>
      </c>
      <c r="AM38" s="26" t="e">
        <f>IF(AND('Mapa final'!#REF!="Baja",'Mapa final'!#REF!="Catastrófico"),CONCATENATE("R3C",'Mapa final'!#REF!),"")</f>
        <v>#REF!</v>
      </c>
      <c r="AN38" s="1"/>
      <c r="AO38" s="261"/>
      <c r="AP38" s="201"/>
      <c r="AQ38" s="201"/>
      <c r="AR38" s="201"/>
      <c r="AS38" s="201"/>
      <c r="AT38" s="262"/>
    </row>
    <row r="39" spans="2:46" ht="15" customHeight="1" x14ac:dyDescent="0.25">
      <c r="B39" s="278"/>
      <c r="C39" s="201"/>
      <c r="D39" s="202"/>
      <c r="E39" s="213"/>
      <c r="F39" s="201"/>
      <c r="G39" s="201"/>
      <c r="H39" s="201"/>
      <c r="I39" s="201"/>
      <c r="J39" s="45" t="str">
        <f>IF(AND('Mapa final'!$Y$31="Baja",'Mapa final'!$AA$31="Leve"),CONCATENATE("R4C",'Mapa final'!$O$31),"")</f>
        <v/>
      </c>
      <c r="K39" s="46" t="str">
        <f>IF(AND('Mapa final'!$Y$32="Baja",'Mapa final'!$AA$32="Leve"),CONCATENATE("R4C",'Mapa final'!$O$32),"")</f>
        <v/>
      </c>
      <c r="L39" s="46" t="e">
        <f>IF(AND('Mapa final'!#REF!="Baja",'Mapa final'!#REF!="Leve"),CONCATENATE("R4C",'Mapa final'!#REF!),"")</f>
        <v>#REF!</v>
      </c>
      <c r="M39" s="46" t="str">
        <f>IF(AND('Mapa final'!$Y$33="Baja",'Mapa final'!$AA$33="Leve"),CONCATENATE("R4C",'Mapa final'!$O$33),"")</f>
        <v/>
      </c>
      <c r="N39" s="46" t="e">
        <f>IF(AND('Mapa final'!#REF!="Baja",'Mapa final'!#REF!="Leve"),CONCATENATE("R4C",'Mapa final'!#REF!),"")</f>
        <v>#REF!</v>
      </c>
      <c r="O39" s="47" t="e">
        <f>IF(AND('Mapa final'!#REF!="Baja",'Mapa final'!#REF!="Leve"),CONCATENATE("R4C",'Mapa final'!#REF!),"")</f>
        <v>#REF!</v>
      </c>
      <c r="P39" s="36" t="str">
        <f>IF(AND('Mapa final'!$Y$31="Baja",'Mapa final'!$AA$31="Menor"),CONCATENATE("R4C",'Mapa final'!$O$31),"")</f>
        <v/>
      </c>
      <c r="Q39" s="37" t="str">
        <f>IF(AND('Mapa final'!$Y$32="Baja",'Mapa final'!$AA$32="Menor"),CONCATENATE("R4C",'Mapa final'!$O$32),"")</f>
        <v/>
      </c>
      <c r="R39" s="37" t="e">
        <f>IF(AND('Mapa final'!#REF!="Baja",'Mapa final'!#REF!="Menor"),CONCATENATE("R4C",'Mapa final'!#REF!),"")</f>
        <v>#REF!</v>
      </c>
      <c r="S39" s="37" t="str">
        <f>IF(AND('Mapa final'!$Y$33="Baja",'Mapa final'!$AA$33="Menor"),CONCATENATE("R4C",'Mapa final'!$O$33),"")</f>
        <v/>
      </c>
      <c r="T39" s="37" t="e">
        <f>IF(AND('Mapa final'!#REF!="Baja",'Mapa final'!#REF!="Menor"),CONCATENATE("R4C",'Mapa final'!#REF!),"")</f>
        <v>#REF!</v>
      </c>
      <c r="U39" s="38" t="e">
        <f>IF(AND('Mapa final'!#REF!="Baja",'Mapa final'!#REF!="Menor"),CONCATENATE("R4C",'Mapa final'!#REF!),"")</f>
        <v>#REF!</v>
      </c>
      <c r="V39" s="36" t="str">
        <f>IF(AND('Mapa final'!$Y$31="Baja",'Mapa final'!$AA$31="Moderado"),CONCATENATE("R4C",'Mapa final'!$O$31),"")</f>
        <v/>
      </c>
      <c r="W39" s="37" t="str">
        <f>IF(AND('Mapa final'!$Y$32="Baja",'Mapa final'!$AA$32="Moderado"),CONCATENATE("R4C",'Mapa final'!$O$32),"")</f>
        <v/>
      </c>
      <c r="X39" s="37" t="e">
        <f>IF(AND('Mapa final'!#REF!="Baja",'Mapa final'!#REF!="Moderado"),CONCATENATE("R4C",'Mapa final'!#REF!),"")</f>
        <v>#REF!</v>
      </c>
      <c r="Y39" s="37" t="str">
        <f>IF(AND('Mapa final'!$Y$33="Baja",'Mapa final'!$AA$33="Moderado"),CONCATENATE("R4C",'Mapa final'!$O$33),"")</f>
        <v/>
      </c>
      <c r="Z39" s="37" t="e">
        <f>IF(AND('Mapa final'!#REF!="Baja",'Mapa final'!#REF!="Moderado"),CONCATENATE("R4C",'Mapa final'!#REF!),"")</f>
        <v>#REF!</v>
      </c>
      <c r="AA39" s="38" t="e">
        <f>IF(AND('Mapa final'!#REF!="Baja",'Mapa final'!#REF!="Moderado"),CONCATENATE("R4C",'Mapa final'!#REF!),"")</f>
        <v>#REF!</v>
      </c>
      <c r="AB39" s="21" t="str">
        <f>IF(AND('Mapa final'!$Y$31="Baja",'Mapa final'!$AA$31="Mayor"),CONCATENATE("R4C",'Mapa final'!$O$31),"")</f>
        <v/>
      </c>
      <c r="AC39" s="22" t="str">
        <f>IF(AND('Mapa final'!$Y$32="Baja",'Mapa final'!$AA$32="Mayor"),CONCATENATE("R4C",'Mapa final'!$O$32),"")</f>
        <v/>
      </c>
      <c r="AD39" s="22" t="e">
        <f>IF(AND('Mapa final'!#REF!="Baja",'Mapa final'!#REF!="Mayor"),CONCATENATE("R4C",'Mapa final'!#REF!),"")</f>
        <v>#REF!</v>
      </c>
      <c r="AE39" s="22" t="str">
        <f>IF(AND('Mapa final'!$Y$33="Baja",'Mapa final'!$AA$33="Mayor"),CONCATENATE("R4C",'Mapa final'!$O$33),"")</f>
        <v/>
      </c>
      <c r="AF39" s="22" t="e">
        <f>IF(AND('Mapa final'!#REF!="Baja",'Mapa final'!#REF!="Mayor"),CONCATENATE("R4C",'Mapa final'!#REF!),"")</f>
        <v>#REF!</v>
      </c>
      <c r="AG39" s="23" t="e">
        <f>IF(AND('Mapa final'!#REF!="Baja",'Mapa final'!#REF!="Mayor"),CONCATENATE("R4C",'Mapa final'!#REF!),"")</f>
        <v>#REF!</v>
      </c>
      <c r="AH39" s="24" t="str">
        <f>IF(AND('Mapa final'!$Y$31="Baja",'Mapa final'!$AA$31="Catastrófico"),CONCATENATE("R4C",'Mapa final'!$O$31),"")</f>
        <v/>
      </c>
      <c r="AI39" s="25" t="str">
        <f>IF(AND('Mapa final'!$Y$32="Baja",'Mapa final'!$AA$32="Catastrófico"),CONCATENATE("R4C",'Mapa final'!$O$32),"")</f>
        <v/>
      </c>
      <c r="AJ39" s="25" t="e">
        <f>IF(AND('Mapa final'!#REF!="Baja",'Mapa final'!#REF!="Catastrófico"),CONCATENATE("R4C",'Mapa final'!#REF!),"")</f>
        <v>#REF!</v>
      </c>
      <c r="AK39" s="25" t="str">
        <f>IF(AND('Mapa final'!$Y$33="Baja",'Mapa final'!$AA$33="Catastrófico"),CONCATENATE("R4C",'Mapa final'!$O$33),"")</f>
        <v/>
      </c>
      <c r="AL39" s="25" t="e">
        <f>IF(AND('Mapa final'!#REF!="Baja",'Mapa final'!#REF!="Catastrófico"),CONCATENATE("R4C",'Mapa final'!#REF!),"")</f>
        <v>#REF!</v>
      </c>
      <c r="AM39" s="26" t="e">
        <f>IF(AND('Mapa final'!#REF!="Baja",'Mapa final'!#REF!="Catastrófico"),CONCATENATE("R4C",'Mapa final'!#REF!),"")</f>
        <v>#REF!</v>
      </c>
      <c r="AN39" s="1"/>
      <c r="AO39" s="261"/>
      <c r="AP39" s="201"/>
      <c r="AQ39" s="201"/>
      <c r="AR39" s="201"/>
      <c r="AS39" s="201"/>
      <c r="AT39" s="262"/>
    </row>
    <row r="40" spans="2:46" ht="15" customHeight="1" x14ac:dyDescent="0.25">
      <c r="B40" s="278"/>
      <c r="C40" s="201"/>
      <c r="D40" s="202"/>
      <c r="E40" s="213"/>
      <c r="F40" s="201"/>
      <c r="G40" s="201"/>
      <c r="H40" s="201"/>
      <c r="I40" s="201"/>
      <c r="J40" s="45" t="str">
        <f>IF(AND('Mapa final'!$Y$36="Baja",'Mapa final'!$AA$36="Leve"),CONCATENATE("R5C",'Mapa final'!$O$36),"")</f>
        <v/>
      </c>
      <c r="K40" s="46" t="str">
        <f>IF(AND('Mapa final'!$Y$37="Baja",'Mapa final'!$AA$37="Leve"),CONCATENATE("R5C",'Mapa final'!$O$37),"")</f>
        <v/>
      </c>
      <c r="L40" s="46" t="str">
        <f>IF(AND('Mapa final'!$Y$38="Baja",'Mapa final'!$AA$38="Leve"),CONCATENATE("R5C",'Mapa final'!$O$38),"")</f>
        <v/>
      </c>
      <c r="M40" s="46" t="e">
        <f>IF(AND('Mapa final'!#REF!="Baja",'Mapa final'!#REF!="Leve"),CONCATENATE("R5C",'Mapa final'!#REF!),"")</f>
        <v>#REF!</v>
      </c>
      <c r="N40" s="46" t="e">
        <f>IF(AND('Mapa final'!#REF!="Baja",'Mapa final'!#REF!="Leve"),CONCATENATE("R5C",'Mapa final'!#REF!),"")</f>
        <v>#REF!</v>
      </c>
      <c r="O40" s="47" t="e">
        <f>IF(AND('Mapa final'!#REF!="Baja",'Mapa final'!#REF!="Leve"),CONCATENATE("R5C",'Mapa final'!#REF!),"")</f>
        <v>#REF!</v>
      </c>
      <c r="P40" s="36" t="str">
        <f>IF(AND('Mapa final'!$Y$36="Baja",'Mapa final'!$AA$36="Menor"),CONCATENATE("R5C",'Mapa final'!$O$36),"")</f>
        <v/>
      </c>
      <c r="Q40" s="37" t="str">
        <f>IF(AND('Mapa final'!$Y$37="Baja",'Mapa final'!$AA$37="Menor"),CONCATENATE("R5C",'Mapa final'!$O$37),"")</f>
        <v/>
      </c>
      <c r="R40" s="37" t="str">
        <f>IF(AND('Mapa final'!$Y$38="Baja",'Mapa final'!$AA$38="Menor"),CONCATENATE("R5C",'Mapa final'!$O$38),"")</f>
        <v/>
      </c>
      <c r="S40" s="37" t="e">
        <f>IF(AND('Mapa final'!#REF!="Baja",'Mapa final'!#REF!="Menor"),CONCATENATE("R5C",'Mapa final'!#REF!),"")</f>
        <v>#REF!</v>
      </c>
      <c r="T40" s="37" t="e">
        <f>IF(AND('Mapa final'!#REF!="Baja",'Mapa final'!#REF!="Menor"),CONCATENATE("R5C",'Mapa final'!#REF!),"")</f>
        <v>#REF!</v>
      </c>
      <c r="U40" s="38" t="e">
        <f>IF(AND('Mapa final'!#REF!="Baja",'Mapa final'!#REF!="Menor"),CONCATENATE("R5C",'Mapa final'!#REF!),"")</f>
        <v>#REF!</v>
      </c>
      <c r="V40" s="36" t="str">
        <f>IF(AND('Mapa final'!$Y$36="Baja",'Mapa final'!$AA$36="Moderado"),CONCATENATE("R5C",'Mapa final'!$O$36),"")</f>
        <v>R5C1</v>
      </c>
      <c r="W40" s="37" t="str">
        <f>IF(AND('Mapa final'!$Y$37="Baja",'Mapa final'!$AA$37="Moderado"),CONCATENATE("R5C",'Mapa final'!$O$37),"")</f>
        <v/>
      </c>
      <c r="X40" s="37" t="str">
        <f>IF(AND('Mapa final'!$Y$38="Baja",'Mapa final'!$AA$38="Moderado"),CONCATENATE("R5C",'Mapa final'!$O$38),"")</f>
        <v/>
      </c>
      <c r="Y40" s="37" t="e">
        <f>IF(AND('Mapa final'!#REF!="Baja",'Mapa final'!#REF!="Moderado"),CONCATENATE("R5C",'Mapa final'!#REF!),"")</f>
        <v>#REF!</v>
      </c>
      <c r="Z40" s="37" t="e">
        <f>IF(AND('Mapa final'!#REF!="Baja",'Mapa final'!#REF!="Moderado"),CONCATENATE("R5C",'Mapa final'!#REF!),"")</f>
        <v>#REF!</v>
      </c>
      <c r="AA40" s="38" t="e">
        <f>IF(AND('Mapa final'!#REF!="Baja",'Mapa final'!#REF!="Moderado"),CONCATENATE("R5C",'Mapa final'!#REF!),"")</f>
        <v>#REF!</v>
      </c>
      <c r="AB40" s="21" t="str">
        <f>IF(AND('Mapa final'!$Y$36="Baja",'Mapa final'!$AA$36="Mayor"),CONCATENATE("R5C",'Mapa final'!$O$36),"")</f>
        <v/>
      </c>
      <c r="AC40" s="22" t="str">
        <f>IF(AND('Mapa final'!$Y$37="Baja",'Mapa final'!$AA$37="Mayor"),CONCATENATE("R5C",'Mapa final'!$O$37),"")</f>
        <v/>
      </c>
      <c r="AD40" s="22" t="str">
        <f>IF(AND('Mapa final'!$Y$38="Baja",'Mapa final'!$AA$38="Mayor"),CONCATENATE("R5C",'Mapa final'!$O$38),"")</f>
        <v/>
      </c>
      <c r="AE40" s="22" t="e">
        <f>IF(AND('Mapa final'!#REF!="Baja",'Mapa final'!#REF!="Mayor"),CONCATENATE("R5C",'Mapa final'!#REF!),"")</f>
        <v>#REF!</v>
      </c>
      <c r="AF40" s="22" t="e">
        <f>IF(AND('Mapa final'!#REF!="Baja",'Mapa final'!#REF!="Mayor"),CONCATENATE("R5C",'Mapa final'!#REF!),"")</f>
        <v>#REF!</v>
      </c>
      <c r="AG40" s="23" t="e">
        <f>IF(AND('Mapa final'!#REF!="Baja",'Mapa final'!#REF!="Mayor"),CONCATENATE("R5C",'Mapa final'!#REF!),"")</f>
        <v>#REF!</v>
      </c>
      <c r="AH40" s="24" t="str">
        <f>IF(AND('Mapa final'!$Y$36="Baja",'Mapa final'!$AA$36="Catastrófico"),CONCATENATE("R5C",'Mapa final'!$O$36),"")</f>
        <v/>
      </c>
      <c r="AI40" s="25" t="str">
        <f>IF(AND('Mapa final'!$Y$37="Baja",'Mapa final'!$AA$37="Catastrófico"),CONCATENATE("R5C",'Mapa final'!$O$37),"")</f>
        <v/>
      </c>
      <c r="AJ40" s="25" t="str">
        <f>IF(AND('Mapa final'!$Y$38="Baja",'Mapa final'!$AA$38="Catastrófico"),CONCATENATE("R5C",'Mapa final'!$O$38),"")</f>
        <v/>
      </c>
      <c r="AK40" s="25" t="e">
        <f>IF(AND('Mapa final'!#REF!="Baja",'Mapa final'!#REF!="Catastrófico"),CONCATENATE("R5C",'Mapa final'!#REF!),"")</f>
        <v>#REF!</v>
      </c>
      <c r="AL40" s="25" t="e">
        <f>IF(AND('Mapa final'!#REF!="Baja",'Mapa final'!#REF!="Catastrófico"),CONCATENATE("R5C",'Mapa final'!#REF!),"")</f>
        <v>#REF!</v>
      </c>
      <c r="AM40" s="26" t="e">
        <f>IF(AND('Mapa final'!#REF!="Baja",'Mapa final'!#REF!="Catastrófico"),CONCATENATE("R5C",'Mapa final'!#REF!),"")</f>
        <v>#REF!</v>
      </c>
      <c r="AN40" s="1"/>
      <c r="AO40" s="261"/>
      <c r="AP40" s="201"/>
      <c r="AQ40" s="201"/>
      <c r="AR40" s="201"/>
      <c r="AS40" s="201"/>
      <c r="AT40" s="262"/>
    </row>
    <row r="41" spans="2:46" ht="15" customHeight="1" x14ac:dyDescent="0.25">
      <c r="B41" s="278"/>
      <c r="C41" s="201"/>
      <c r="D41" s="202"/>
      <c r="E41" s="213"/>
      <c r="F41" s="201"/>
      <c r="G41" s="201"/>
      <c r="H41" s="201"/>
      <c r="I41" s="201"/>
      <c r="J41" s="45" t="str">
        <f>IF(AND('Mapa final'!$Y$41="Baja",'Mapa final'!$AA$41="Leve"),CONCATENATE("R6C",'Mapa final'!$O$41),"")</f>
        <v/>
      </c>
      <c r="K41" s="46" t="str">
        <f>IF(AND('Mapa final'!$Y$42="Baja",'Mapa final'!$AA$42="Leve"),CONCATENATE("R6C",'Mapa final'!$O$42),"")</f>
        <v/>
      </c>
      <c r="L41" s="46" t="str">
        <f>IF(AND('Mapa final'!$Y$43="Baja",'Mapa final'!$AA$43="Leve"),CONCATENATE("R6C",'Mapa final'!$O$43),"")</f>
        <v/>
      </c>
      <c r="M41" s="46" t="e">
        <f>IF(AND('Mapa final'!#REF!="Baja",'Mapa final'!#REF!="Leve"),CONCATENATE("R6C",'Mapa final'!#REF!),"")</f>
        <v>#REF!</v>
      </c>
      <c r="N41" s="46" t="e">
        <f>IF(AND('Mapa final'!#REF!="Baja",'Mapa final'!#REF!="Leve"),CONCATENATE("R6C",'Mapa final'!#REF!),"")</f>
        <v>#REF!</v>
      </c>
      <c r="O41" s="47" t="e">
        <f>IF(AND('Mapa final'!#REF!="Baja",'Mapa final'!#REF!="Leve"),CONCATENATE("R6C",'Mapa final'!#REF!),"")</f>
        <v>#REF!</v>
      </c>
      <c r="P41" s="36" t="str">
        <f>IF(AND('Mapa final'!$Y$41="Baja",'Mapa final'!$AA$41="Menor"),CONCATENATE("R6C",'Mapa final'!$O$41),"")</f>
        <v/>
      </c>
      <c r="Q41" s="37" t="str">
        <f>IF(AND('Mapa final'!$Y$42="Baja",'Mapa final'!$AA$42="Menor"),CONCATENATE("R6C",'Mapa final'!$O$42),"")</f>
        <v/>
      </c>
      <c r="R41" s="37" t="str">
        <f>IF(AND('Mapa final'!$Y$43="Baja",'Mapa final'!$AA$43="Menor"),CONCATENATE("R6C",'Mapa final'!$O$43),"")</f>
        <v/>
      </c>
      <c r="S41" s="37" t="e">
        <f>IF(AND('Mapa final'!#REF!="Baja",'Mapa final'!#REF!="Menor"),CONCATENATE("R6C",'Mapa final'!#REF!),"")</f>
        <v>#REF!</v>
      </c>
      <c r="T41" s="37" t="e">
        <f>IF(AND('Mapa final'!#REF!="Baja",'Mapa final'!#REF!="Menor"),CONCATENATE("R6C",'Mapa final'!#REF!),"")</f>
        <v>#REF!</v>
      </c>
      <c r="U41" s="38" t="e">
        <f>IF(AND('Mapa final'!#REF!="Baja",'Mapa final'!#REF!="Menor"),CONCATENATE("R6C",'Mapa final'!#REF!),"")</f>
        <v>#REF!</v>
      </c>
      <c r="V41" s="36" t="str">
        <f>IF(AND('Mapa final'!$Y$41="Baja",'Mapa final'!$AA$41="Moderado"),CONCATENATE("R6C",'Mapa final'!$O$41),"")</f>
        <v/>
      </c>
      <c r="W41" s="37" t="str">
        <f>IF(AND('Mapa final'!$Y$42="Baja",'Mapa final'!$AA$42="Moderado"),CONCATENATE("R6C",'Mapa final'!$O$42),"")</f>
        <v/>
      </c>
      <c r="X41" s="37" t="str">
        <f>IF(AND('Mapa final'!$Y$43="Baja",'Mapa final'!$AA$43="Moderado"),CONCATENATE("R6C",'Mapa final'!$O$43),"")</f>
        <v/>
      </c>
      <c r="Y41" s="37" t="e">
        <f>IF(AND('Mapa final'!#REF!="Baja",'Mapa final'!#REF!="Moderado"),CONCATENATE("R6C",'Mapa final'!#REF!),"")</f>
        <v>#REF!</v>
      </c>
      <c r="Z41" s="37" t="e">
        <f>IF(AND('Mapa final'!#REF!="Baja",'Mapa final'!#REF!="Moderado"),CONCATENATE("R6C",'Mapa final'!#REF!),"")</f>
        <v>#REF!</v>
      </c>
      <c r="AA41" s="38" t="e">
        <f>IF(AND('Mapa final'!#REF!="Baja",'Mapa final'!#REF!="Moderado"),CONCATENATE("R6C",'Mapa final'!#REF!),"")</f>
        <v>#REF!</v>
      </c>
      <c r="AB41" s="21" t="str">
        <f>IF(AND('Mapa final'!$Y$41="Baja",'Mapa final'!$AA$41="Mayor"),CONCATENATE("R6C",'Mapa final'!$O$41),"")</f>
        <v/>
      </c>
      <c r="AC41" s="22" t="str">
        <f>IF(AND('Mapa final'!$Y$42="Baja",'Mapa final'!$AA$42="Mayor"),CONCATENATE("R6C",'Mapa final'!$O$42),"")</f>
        <v/>
      </c>
      <c r="AD41" s="22" t="str">
        <f>IF(AND('Mapa final'!$Y$43="Baja",'Mapa final'!$AA$43="Mayor"),CONCATENATE("R6C",'Mapa final'!$O$43),"")</f>
        <v/>
      </c>
      <c r="AE41" s="22" t="e">
        <f>IF(AND('Mapa final'!#REF!="Baja",'Mapa final'!#REF!="Mayor"),CONCATENATE("R6C",'Mapa final'!#REF!),"")</f>
        <v>#REF!</v>
      </c>
      <c r="AF41" s="22" t="e">
        <f>IF(AND('Mapa final'!#REF!="Baja",'Mapa final'!#REF!="Mayor"),CONCATENATE("R6C",'Mapa final'!#REF!),"")</f>
        <v>#REF!</v>
      </c>
      <c r="AG41" s="23" t="e">
        <f>IF(AND('Mapa final'!#REF!="Baja",'Mapa final'!#REF!="Mayor"),CONCATENATE("R6C",'Mapa final'!#REF!),"")</f>
        <v>#REF!</v>
      </c>
      <c r="AH41" s="24" t="str">
        <f>IF(AND('Mapa final'!$Y$41="Baja",'Mapa final'!$AA$41="Catastrófico"),CONCATENATE("R6C",'Mapa final'!$O$41),"")</f>
        <v/>
      </c>
      <c r="AI41" s="25" t="str">
        <f>IF(AND('Mapa final'!$Y$42="Baja",'Mapa final'!$AA$42="Catastrófico"),CONCATENATE("R6C",'Mapa final'!$O$42),"")</f>
        <v/>
      </c>
      <c r="AJ41" s="25" t="str">
        <f>IF(AND('Mapa final'!$Y$43="Baja",'Mapa final'!$AA$43="Catastrófico"),CONCATENATE("R6C",'Mapa final'!$O$43),"")</f>
        <v/>
      </c>
      <c r="AK41" s="25" t="e">
        <f>IF(AND('Mapa final'!#REF!="Baja",'Mapa final'!#REF!="Catastrófico"),CONCATENATE("R6C",'Mapa final'!#REF!),"")</f>
        <v>#REF!</v>
      </c>
      <c r="AL41" s="25" t="e">
        <f>IF(AND('Mapa final'!#REF!="Baja",'Mapa final'!#REF!="Catastrófico"),CONCATENATE("R6C",'Mapa final'!#REF!),"")</f>
        <v>#REF!</v>
      </c>
      <c r="AM41" s="26" t="e">
        <f>IF(AND('Mapa final'!#REF!="Baja",'Mapa final'!#REF!="Catastrófico"),CONCATENATE("R6C",'Mapa final'!#REF!),"")</f>
        <v>#REF!</v>
      </c>
      <c r="AN41" s="1"/>
      <c r="AO41" s="261"/>
      <c r="AP41" s="201"/>
      <c r="AQ41" s="201"/>
      <c r="AR41" s="201"/>
      <c r="AS41" s="201"/>
      <c r="AT41" s="262"/>
    </row>
    <row r="42" spans="2:46" ht="15" customHeight="1" x14ac:dyDescent="0.25">
      <c r="B42" s="278"/>
      <c r="C42" s="201"/>
      <c r="D42" s="202"/>
      <c r="E42" s="213"/>
      <c r="F42" s="201"/>
      <c r="G42" s="201"/>
      <c r="H42" s="201"/>
      <c r="I42" s="201"/>
      <c r="J42" s="45" t="e">
        <f>IF(AND('Mapa final'!#REF!="Baja",'Mapa final'!#REF!="Leve"),CONCATENATE("R7C",'Mapa final'!#REF!),"")</f>
        <v>#REF!</v>
      </c>
      <c r="K42" s="46" t="e">
        <f>IF(AND('Mapa final'!#REF!="Baja",'Mapa final'!#REF!="Leve"),CONCATENATE("R7C",'Mapa final'!#REF!),"")</f>
        <v>#REF!</v>
      </c>
      <c r="L42" s="46" t="e">
        <f>IF(AND('Mapa final'!#REF!="Baja",'Mapa final'!#REF!="Leve"),CONCATENATE("R7C",'Mapa final'!#REF!),"")</f>
        <v>#REF!</v>
      </c>
      <c r="M42" s="46" t="e">
        <f>IF(AND('Mapa final'!#REF!="Baja",'Mapa final'!#REF!="Leve"),CONCATENATE("R7C",'Mapa final'!#REF!),"")</f>
        <v>#REF!</v>
      </c>
      <c r="N42" s="46" t="e">
        <f>IF(AND('Mapa final'!#REF!="Baja",'Mapa final'!#REF!="Leve"),CONCATENATE("R7C",'Mapa final'!#REF!),"")</f>
        <v>#REF!</v>
      </c>
      <c r="O42" s="47" t="e">
        <f>IF(AND('Mapa final'!#REF!="Baja",'Mapa final'!#REF!="Leve"),CONCATENATE("R7C",'Mapa final'!#REF!),"")</f>
        <v>#REF!</v>
      </c>
      <c r="P42" s="36" t="e">
        <f>IF(AND('Mapa final'!#REF!="Baja",'Mapa final'!#REF!="Menor"),CONCATENATE("R7C",'Mapa final'!#REF!),"")</f>
        <v>#REF!</v>
      </c>
      <c r="Q42" s="37" t="e">
        <f>IF(AND('Mapa final'!#REF!="Baja",'Mapa final'!#REF!="Menor"),CONCATENATE("R7C",'Mapa final'!#REF!),"")</f>
        <v>#REF!</v>
      </c>
      <c r="R42" s="37" t="e">
        <f>IF(AND('Mapa final'!#REF!="Baja",'Mapa final'!#REF!="Menor"),CONCATENATE("R7C",'Mapa final'!#REF!),"")</f>
        <v>#REF!</v>
      </c>
      <c r="S42" s="37" t="e">
        <f>IF(AND('Mapa final'!#REF!="Baja",'Mapa final'!#REF!="Menor"),CONCATENATE("R7C",'Mapa final'!#REF!),"")</f>
        <v>#REF!</v>
      </c>
      <c r="T42" s="37" t="e">
        <f>IF(AND('Mapa final'!#REF!="Baja",'Mapa final'!#REF!="Menor"),CONCATENATE("R7C",'Mapa final'!#REF!),"")</f>
        <v>#REF!</v>
      </c>
      <c r="U42" s="38" t="e">
        <f>IF(AND('Mapa final'!#REF!="Baja",'Mapa final'!#REF!="Menor"),CONCATENATE("R7C",'Mapa final'!#REF!),"")</f>
        <v>#REF!</v>
      </c>
      <c r="V42" s="36" t="e">
        <f>IF(AND('Mapa final'!#REF!="Baja",'Mapa final'!#REF!="Moderado"),CONCATENATE("R7C",'Mapa final'!#REF!),"")</f>
        <v>#REF!</v>
      </c>
      <c r="W42" s="37" t="e">
        <f>IF(AND('Mapa final'!#REF!="Baja",'Mapa final'!#REF!="Moderado"),CONCATENATE("R7C",'Mapa final'!#REF!),"")</f>
        <v>#REF!</v>
      </c>
      <c r="X42" s="37" t="e">
        <f>IF(AND('Mapa final'!#REF!="Baja",'Mapa final'!#REF!="Moderado"),CONCATENATE("R7C",'Mapa final'!#REF!),"")</f>
        <v>#REF!</v>
      </c>
      <c r="Y42" s="37" t="e">
        <f>IF(AND('Mapa final'!#REF!="Baja",'Mapa final'!#REF!="Moderado"),CONCATENATE("R7C",'Mapa final'!#REF!),"")</f>
        <v>#REF!</v>
      </c>
      <c r="Z42" s="37" t="e">
        <f>IF(AND('Mapa final'!#REF!="Baja",'Mapa final'!#REF!="Moderado"),CONCATENATE("R7C",'Mapa final'!#REF!),"")</f>
        <v>#REF!</v>
      </c>
      <c r="AA42" s="38" t="e">
        <f>IF(AND('Mapa final'!#REF!="Baja",'Mapa final'!#REF!="Moderado"),CONCATENATE("R7C",'Mapa final'!#REF!),"")</f>
        <v>#REF!</v>
      </c>
      <c r="AB42" s="21" t="e">
        <f>IF(AND('Mapa final'!#REF!="Baja",'Mapa final'!#REF!="Mayor"),CONCATENATE("R7C",'Mapa final'!#REF!),"")</f>
        <v>#REF!</v>
      </c>
      <c r="AC42" s="22" t="e">
        <f>IF(AND('Mapa final'!#REF!="Baja",'Mapa final'!#REF!="Mayor"),CONCATENATE("R7C",'Mapa final'!#REF!),"")</f>
        <v>#REF!</v>
      </c>
      <c r="AD42" s="22" t="e">
        <f>IF(AND('Mapa final'!#REF!="Baja",'Mapa final'!#REF!="Mayor"),CONCATENATE("R7C",'Mapa final'!#REF!),"")</f>
        <v>#REF!</v>
      </c>
      <c r="AE42" s="22" t="e">
        <f>IF(AND('Mapa final'!#REF!="Baja",'Mapa final'!#REF!="Mayor"),CONCATENATE("R7C",'Mapa final'!#REF!),"")</f>
        <v>#REF!</v>
      </c>
      <c r="AF42" s="22" t="e">
        <f>IF(AND('Mapa final'!#REF!="Baja",'Mapa final'!#REF!="Mayor"),CONCATENATE("R7C",'Mapa final'!#REF!),"")</f>
        <v>#REF!</v>
      </c>
      <c r="AG42" s="23" t="e">
        <f>IF(AND('Mapa final'!#REF!="Baja",'Mapa final'!#REF!="Mayor"),CONCATENATE("R7C",'Mapa final'!#REF!),"")</f>
        <v>#REF!</v>
      </c>
      <c r="AH42" s="24" t="e">
        <f>IF(AND('Mapa final'!#REF!="Baja",'Mapa final'!#REF!="Catastrófico"),CONCATENATE("R7C",'Mapa final'!#REF!),"")</f>
        <v>#REF!</v>
      </c>
      <c r="AI42" s="25" t="e">
        <f>IF(AND('Mapa final'!#REF!="Baja",'Mapa final'!#REF!="Catastrófico"),CONCATENATE("R7C",'Mapa final'!#REF!),"")</f>
        <v>#REF!</v>
      </c>
      <c r="AJ42" s="25" t="e">
        <f>IF(AND('Mapa final'!#REF!="Baja",'Mapa final'!#REF!="Catastrófico"),CONCATENATE("R7C",'Mapa final'!#REF!),"")</f>
        <v>#REF!</v>
      </c>
      <c r="AK42" s="25" t="e">
        <f>IF(AND('Mapa final'!#REF!="Baja",'Mapa final'!#REF!="Catastrófico"),CONCATENATE("R7C",'Mapa final'!#REF!),"")</f>
        <v>#REF!</v>
      </c>
      <c r="AL42" s="25" t="e">
        <f>IF(AND('Mapa final'!#REF!="Baja",'Mapa final'!#REF!="Catastrófico"),CONCATENATE("R7C",'Mapa final'!#REF!),"")</f>
        <v>#REF!</v>
      </c>
      <c r="AM42" s="26" t="e">
        <f>IF(AND('Mapa final'!#REF!="Baja",'Mapa final'!#REF!="Catastrófico"),CONCATENATE("R7C",'Mapa final'!#REF!),"")</f>
        <v>#REF!</v>
      </c>
      <c r="AN42" s="1"/>
      <c r="AO42" s="261"/>
      <c r="AP42" s="201"/>
      <c r="AQ42" s="201"/>
      <c r="AR42" s="201"/>
      <c r="AS42" s="201"/>
      <c r="AT42" s="262"/>
    </row>
    <row r="43" spans="2:46" ht="15" customHeight="1" x14ac:dyDescent="0.25">
      <c r="B43" s="278"/>
      <c r="C43" s="201"/>
      <c r="D43" s="202"/>
      <c r="E43" s="213"/>
      <c r="F43" s="201"/>
      <c r="G43" s="201"/>
      <c r="H43" s="201"/>
      <c r="I43" s="201"/>
      <c r="J43" s="45" t="e">
        <f>IF(AND('Mapa final'!#REF!="Baja",'Mapa final'!#REF!="Leve"),CONCATENATE("R8C",'Mapa final'!#REF!),"")</f>
        <v>#REF!</v>
      </c>
      <c r="K43" s="46" t="e">
        <f>IF(AND('Mapa final'!#REF!="Baja",'Mapa final'!#REF!="Leve"),CONCATENATE("R8C",'Mapa final'!#REF!),"")</f>
        <v>#REF!</v>
      </c>
      <c r="L43" s="46" t="e">
        <f>IF(AND('Mapa final'!#REF!="Baja",'Mapa final'!#REF!="Leve"),CONCATENATE("R8C",'Mapa final'!#REF!),"")</f>
        <v>#REF!</v>
      </c>
      <c r="M43" s="46" t="e">
        <f>IF(AND('Mapa final'!#REF!="Baja",'Mapa final'!#REF!="Leve"),CONCATENATE("R8C",'Mapa final'!#REF!),"")</f>
        <v>#REF!</v>
      </c>
      <c r="N43" s="46" t="e">
        <f>IF(AND('Mapa final'!#REF!="Baja",'Mapa final'!#REF!="Leve"),CONCATENATE("R8C",'Mapa final'!#REF!),"")</f>
        <v>#REF!</v>
      </c>
      <c r="O43" s="47" t="e">
        <f>IF(AND('Mapa final'!#REF!="Baja",'Mapa final'!#REF!="Leve"),CONCATENATE("R8C",'Mapa final'!#REF!),"")</f>
        <v>#REF!</v>
      </c>
      <c r="P43" s="36" t="e">
        <f>IF(AND('Mapa final'!#REF!="Baja",'Mapa final'!#REF!="Menor"),CONCATENATE("R8C",'Mapa final'!#REF!),"")</f>
        <v>#REF!</v>
      </c>
      <c r="Q43" s="37" t="e">
        <f>IF(AND('Mapa final'!#REF!="Baja",'Mapa final'!#REF!="Menor"),CONCATENATE("R8C",'Mapa final'!#REF!),"")</f>
        <v>#REF!</v>
      </c>
      <c r="R43" s="37" t="e">
        <f>IF(AND('Mapa final'!#REF!="Baja",'Mapa final'!#REF!="Menor"),CONCATENATE("R8C",'Mapa final'!#REF!),"")</f>
        <v>#REF!</v>
      </c>
      <c r="S43" s="37" t="e">
        <f>IF(AND('Mapa final'!#REF!="Baja",'Mapa final'!#REF!="Menor"),CONCATENATE("R8C",'Mapa final'!#REF!),"")</f>
        <v>#REF!</v>
      </c>
      <c r="T43" s="37" t="e">
        <f>IF(AND('Mapa final'!#REF!="Baja",'Mapa final'!#REF!="Menor"),CONCATENATE("R8C",'Mapa final'!#REF!),"")</f>
        <v>#REF!</v>
      </c>
      <c r="U43" s="38" t="e">
        <f>IF(AND('Mapa final'!#REF!="Baja",'Mapa final'!#REF!="Menor"),CONCATENATE("R8C",'Mapa final'!#REF!),"")</f>
        <v>#REF!</v>
      </c>
      <c r="V43" s="36" t="e">
        <f>IF(AND('Mapa final'!#REF!="Baja",'Mapa final'!#REF!="Moderado"),CONCATENATE("R8C",'Mapa final'!#REF!),"")</f>
        <v>#REF!</v>
      </c>
      <c r="W43" s="37" t="e">
        <f>IF(AND('Mapa final'!#REF!="Baja",'Mapa final'!#REF!="Moderado"),CONCATENATE("R8C",'Mapa final'!#REF!),"")</f>
        <v>#REF!</v>
      </c>
      <c r="X43" s="37" t="e">
        <f>IF(AND('Mapa final'!#REF!="Baja",'Mapa final'!#REF!="Moderado"),CONCATENATE("R8C",'Mapa final'!#REF!),"")</f>
        <v>#REF!</v>
      </c>
      <c r="Y43" s="37" t="e">
        <f>IF(AND('Mapa final'!#REF!="Baja",'Mapa final'!#REF!="Moderado"),CONCATENATE("R8C",'Mapa final'!#REF!),"")</f>
        <v>#REF!</v>
      </c>
      <c r="Z43" s="37" t="e">
        <f>IF(AND('Mapa final'!#REF!="Baja",'Mapa final'!#REF!="Moderado"),CONCATENATE("R8C",'Mapa final'!#REF!),"")</f>
        <v>#REF!</v>
      </c>
      <c r="AA43" s="38" t="e">
        <f>IF(AND('Mapa final'!#REF!="Baja",'Mapa final'!#REF!="Moderado"),CONCATENATE("R8C",'Mapa final'!#REF!),"")</f>
        <v>#REF!</v>
      </c>
      <c r="AB43" s="21" t="e">
        <f>IF(AND('Mapa final'!#REF!="Baja",'Mapa final'!#REF!="Mayor"),CONCATENATE("R8C",'Mapa final'!#REF!),"")</f>
        <v>#REF!</v>
      </c>
      <c r="AC43" s="22" t="e">
        <f>IF(AND('Mapa final'!#REF!="Baja",'Mapa final'!#REF!="Mayor"),CONCATENATE("R8C",'Mapa final'!#REF!),"")</f>
        <v>#REF!</v>
      </c>
      <c r="AD43" s="22" t="e">
        <f>IF(AND('Mapa final'!#REF!="Baja",'Mapa final'!#REF!="Mayor"),CONCATENATE("R8C",'Mapa final'!#REF!),"")</f>
        <v>#REF!</v>
      </c>
      <c r="AE43" s="22" t="e">
        <f>IF(AND('Mapa final'!#REF!="Baja",'Mapa final'!#REF!="Mayor"),CONCATENATE("R8C",'Mapa final'!#REF!),"")</f>
        <v>#REF!</v>
      </c>
      <c r="AF43" s="22" t="e">
        <f>IF(AND('Mapa final'!#REF!="Baja",'Mapa final'!#REF!="Mayor"),CONCATENATE("R8C",'Mapa final'!#REF!),"")</f>
        <v>#REF!</v>
      </c>
      <c r="AG43" s="23" t="e">
        <f>IF(AND('Mapa final'!#REF!="Baja",'Mapa final'!#REF!="Mayor"),CONCATENATE("R8C",'Mapa final'!#REF!),"")</f>
        <v>#REF!</v>
      </c>
      <c r="AH43" s="24" t="e">
        <f>IF(AND('Mapa final'!#REF!="Baja",'Mapa final'!#REF!="Catastrófico"),CONCATENATE("R8C",'Mapa final'!#REF!),"")</f>
        <v>#REF!</v>
      </c>
      <c r="AI43" s="25" t="e">
        <f>IF(AND('Mapa final'!#REF!="Baja",'Mapa final'!#REF!="Catastrófico"),CONCATENATE("R8C",'Mapa final'!#REF!),"")</f>
        <v>#REF!</v>
      </c>
      <c r="AJ43" s="25" t="e">
        <f>IF(AND('Mapa final'!#REF!="Baja",'Mapa final'!#REF!="Catastrófico"),CONCATENATE("R8C",'Mapa final'!#REF!),"")</f>
        <v>#REF!</v>
      </c>
      <c r="AK43" s="25" t="e">
        <f>IF(AND('Mapa final'!#REF!="Baja",'Mapa final'!#REF!="Catastrófico"),CONCATENATE("R8C",'Mapa final'!#REF!),"")</f>
        <v>#REF!</v>
      </c>
      <c r="AL43" s="25" t="e">
        <f>IF(AND('Mapa final'!#REF!="Baja",'Mapa final'!#REF!="Catastrófico"),CONCATENATE("R8C",'Mapa final'!#REF!),"")</f>
        <v>#REF!</v>
      </c>
      <c r="AM43" s="26" t="e">
        <f>IF(AND('Mapa final'!#REF!="Baja",'Mapa final'!#REF!="Catastrófico"),CONCATENATE("R8C",'Mapa final'!#REF!),"")</f>
        <v>#REF!</v>
      </c>
      <c r="AN43" s="1"/>
      <c r="AO43" s="261"/>
      <c r="AP43" s="201"/>
      <c r="AQ43" s="201"/>
      <c r="AR43" s="201"/>
      <c r="AS43" s="201"/>
      <c r="AT43" s="262"/>
    </row>
    <row r="44" spans="2:46" ht="15" customHeight="1" x14ac:dyDescent="0.25">
      <c r="B44" s="278"/>
      <c r="C44" s="201"/>
      <c r="D44" s="202"/>
      <c r="E44" s="213"/>
      <c r="F44" s="201"/>
      <c r="G44" s="201"/>
      <c r="H44" s="201"/>
      <c r="I44" s="201"/>
      <c r="J44" s="45" t="e">
        <f>IF(AND('Mapa final'!#REF!="Baja",'Mapa final'!#REF!="Leve"),CONCATENATE("R9C",'Mapa final'!#REF!),"")</f>
        <v>#REF!</v>
      </c>
      <c r="K44" s="46" t="e">
        <f>IF(AND('Mapa final'!#REF!="Baja",'Mapa final'!#REF!="Leve"),CONCATENATE("R9C",'Mapa final'!#REF!),"")</f>
        <v>#REF!</v>
      </c>
      <c r="L44" s="46" t="e">
        <f>IF(AND('Mapa final'!#REF!="Baja",'Mapa final'!#REF!="Leve"),CONCATENATE("R9C",'Mapa final'!#REF!),"")</f>
        <v>#REF!</v>
      </c>
      <c r="M44" s="46" t="e">
        <f>IF(AND('Mapa final'!#REF!="Baja",'Mapa final'!#REF!="Leve"),CONCATENATE("R9C",'Mapa final'!#REF!),"")</f>
        <v>#REF!</v>
      </c>
      <c r="N44" s="46" t="e">
        <f>IF(AND('Mapa final'!#REF!="Baja",'Mapa final'!#REF!="Leve"),CONCATENATE("R9C",'Mapa final'!#REF!),"")</f>
        <v>#REF!</v>
      </c>
      <c r="O44" s="47" t="e">
        <f>IF(AND('Mapa final'!#REF!="Baja",'Mapa final'!#REF!="Leve"),CONCATENATE("R9C",'Mapa final'!#REF!),"")</f>
        <v>#REF!</v>
      </c>
      <c r="P44" s="36" t="e">
        <f>IF(AND('Mapa final'!#REF!="Baja",'Mapa final'!#REF!="Menor"),CONCATENATE("R9C",'Mapa final'!#REF!),"")</f>
        <v>#REF!</v>
      </c>
      <c r="Q44" s="37" t="e">
        <f>IF(AND('Mapa final'!#REF!="Baja",'Mapa final'!#REF!="Menor"),CONCATENATE("R9C",'Mapa final'!#REF!),"")</f>
        <v>#REF!</v>
      </c>
      <c r="R44" s="37" t="e">
        <f>IF(AND('Mapa final'!#REF!="Baja",'Mapa final'!#REF!="Menor"),CONCATENATE("R9C",'Mapa final'!#REF!),"")</f>
        <v>#REF!</v>
      </c>
      <c r="S44" s="37" t="e">
        <f>IF(AND('Mapa final'!#REF!="Baja",'Mapa final'!#REF!="Menor"),CONCATENATE("R9C",'Mapa final'!#REF!),"")</f>
        <v>#REF!</v>
      </c>
      <c r="T44" s="37" t="e">
        <f>IF(AND('Mapa final'!#REF!="Baja",'Mapa final'!#REF!="Menor"),CONCATENATE("R9C",'Mapa final'!#REF!),"")</f>
        <v>#REF!</v>
      </c>
      <c r="U44" s="38" t="e">
        <f>IF(AND('Mapa final'!#REF!="Baja",'Mapa final'!#REF!="Menor"),CONCATENATE("R9C",'Mapa final'!#REF!),"")</f>
        <v>#REF!</v>
      </c>
      <c r="V44" s="36" t="e">
        <f>IF(AND('Mapa final'!#REF!="Baja",'Mapa final'!#REF!="Moderado"),CONCATENATE("R9C",'Mapa final'!#REF!),"")</f>
        <v>#REF!</v>
      </c>
      <c r="W44" s="37" t="e">
        <f>IF(AND('Mapa final'!#REF!="Baja",'Mapa final'!#REF!="Moderado"),CONCATENATE("R9C",'Mapa final'!#REF!),"")</f>
        <v>#REF!</v>
      </c>
      <c r="X44" s="37" t="e">
        <f>IF(AND('Mapa final'!#REF!="Baja",'Mapa final'!#REF!="Moderado"),CONCATENATE("R9C",'Mapa final'!#REF!),"")</f>
        <v>#REF!</v>
      </c>
      <c r="Y44" s="37" t="e">
        <f>IF(AND('Mapa final'!#REF!="Baja",'Mapa final'!#REF!="Moderado"),CONCATENATE("R9C",'Mapa final'!#REF!),"")</f>
        <v>#REF!</v>
      </c>
      <c r="Z44" s="37" t="e">
        <f>IF(AND('Mapa final'!#REF!="Baja",'Mapa final'!#REF!="Moderado"),CONCATENATE("R9C",'Mapa final'!#REF!),"")</f>
        <v>#REF!</v>
      </c>
      <c r="AA44" s="38" t="e">
        <f>IF(AND('Mapa final'!#REF!="Baja",'Mapa final'!#REF!="Moderado"),CONCATENATE("R9C",'Mapa final'!#REF!),"")</f>
        <v>#REF!</v>
      </c>
      <c r="AB44" s="21" t="e">
        <f>IF(AND('Mapa final'!#REF!="Baja",'Mapa final'!#REF!="Mayor"),CONCATENATE("R9C",'Mapa final'!#REF!),"")</f>
        <v>#REF!</v>
      </c>
      <c r="AC44" s="22" t="e">
        <f>IF(AND('Mapa final'!#REF!="Baja",'Mapa final'!#REF!="Mayor"),CONCATENATE("R9C",'Mapa final'!#REF!),"")</f>
        <v>#REF!</v>
      </c>
      <c r="AD44" s="22" t="e">
        <f>IF(AND('Mapa final'!#REF!="Baja",'Mapa final'!#REF!="Mayor"),CONCATENATE("R9C",'Mapa final'!#REF!),"")</f>
        <v>#REF!</v>
      </c>
      <c r="AE44" s="22" t="e">
        <f>IF(AND('Mapa final'!#REF!="Baja",'Mapa final'!#REF!="Mayor"),CONCATENATE("R9C",'Mapa final'!#REF!),"")</f>
        <v>#REF!</v>
      </c>
      <c r="AF44" s="22" t="e">
        <f>IF(AND('Mapa final'!#REF!="Baja",'Mapa final'!#REF!="Mayor"),CONCATENATE("R9C",'Mapa final'!#REF!),"")</f>
        <v>#REF!</v>
      </c>
      <c r="AG44" s="23" t="e">
        <f>IF(AND('Mapa final'!#REF!="Baja",'Mapa final'!#REF!="Mayor"),CONCATENATE("R9C",'Mapa final'!#REF!),"")</f>
        <v>#REF!</v>
      </c>
      <c r="AH44" s="24" t="e">
        <f>IF(AND('Mapa final'!#REF!="Baja",'Mapa final'!#REF!="Catastrófico"),CONCATENATE("R9C",'Mapa final'!#REF!),"")</f>
        <v>#REF!</v>
      </c>
      <c r="AI44" s="25" t="e">
        <f>IF(AND('Mapa final'!#REF!="Baja",'Mapa final'!#REF!="Catastrófico"),CONCATENATE("R9C",'Mapa final'!#REF!),"")</f>
        <v>#REF!</v>
      </c>
      <c r="AJ44" s="25" t="e">
        <f>IF(AND('Mapa final'!#REF!="Baja",'Mapa final'!#REF!="Catastrófico"),CONCATENATE("R9C",'Mapa final'!#REF!),"")</f>
        <v>#REF!</v>
      </c>
      <c r="AK44" s="25" t="e">
        <f>IF(AND('Mapa final'!#REF!="Baja",'Mapa final'!#REF!="Catastrófico"),CONCATENATE("R9C",'Mapa final'!#REF!),"")</f>
        <v>#REF!</v>
      </c>
      <c r="AL44" s="25" t="e">
        <f>IF(AND('Mapa final'!#REF!="Baja",'Mapa final'!#REF!="Catastrófico"),CONCATENATE("R9C",'Mapa final'!#REF!),"")</f>
        <v>#REF!</v>
      </c>
      <c r="AM44" s="26" t="e">
        <f>IF(AND('Mapa final'!#REF!="Baja",'Mapa final'!#REF!="Catastrófico"),CONCATENATE("R9C",'Mapa final'!#REF!),"")</f>
        <v>#REF!</v>
      </c>
      <c r="AN44" s="1"/>
      <c r="AO44" s="261"/>
      <c r="AP44" s="201"/>
      <c r="AQ44" s="201"/>
      <c r="AR44" s="201"/>
      <c r="AS44" s="201"/>
      <c r="AT44" s="262"/>
    </row>
    <row r="45" spans="2:46" ht="15.75" customHeight="1" x14ac:dyDescent="0.25">
      <c r="B45" s="278"/>
      <c r="C45" s="201"/>
      <c r="D45" s="202"/>
      <c r="E45" s="247"/>
      <c r="F45" s="271"/>
      <c r="G45" s="271"/>
      <c r="H45" s="271"/>
      <c r="I45" s="271"/>
      <c r="J45" s="48" t="e">
        <f>IF(AND('Mapa final'!#REF!="Baja",'Mapa final'!#REF!="Leve"),CONCATENATE("R10C",'Mapa final'!#REF!),"")</f>
        <v>#REF!</v>
      </c>
      <c r="K45" s="49" t="e">
        <f>IF(AND('Mapa final'!#REF!="Baja",'Mapa final'!#REF!="Leve"),CONCATENATE("R10C",'Mapa final'!#REF!),"")</f>
        <v>#REF!</v>
      </c>
      <c r="L45" s="49" t="e">
        <f>IF(AND('Mapa final'!#REF!="Baja",'Mapa final'!#REF!="Leve"),CONCATENATE("R10C",'Mapa final'!#REF!),"")</f>
        <v>#REF!</v>
      </c>
      <c r="M45" s="49" t="e">
        <f>IF(AND('Mapa final'!#REF!="Baja",'Mapa final'!#REF!="Leve"),CONCATENATE("R10C",'Mapa final'!#REF!),"")</f>
        <v>#REF!</v>
      </c>
      <c r="N45" s="49" t="e">
        <f>IF(AND('Mapa final'!#REF!="Baja",'Mapa final'!#REF!="Leve"),CONCATENATE("R10C",'Mapa final'!#REF!),"")</f>
        <v>#REF!</v>
      </c>
      <c r="O45" s="50" t="e">
        <f>IF(AND('Mapa final'!#REF!="Baja",'Mapa final'!#REF!="Leve"),CONCATENATE("R10C",'Mapa final'!#REF!),"")</f>
        <v>#REF!</v>
      </c>
      <c r="P45" s="36" t="e">
        <f>IF(AND('Mapa final'!#REF!="Baja",'Mapa final'!#REF!="Menor"),CONCATENATE("R10C",'Mapa final'!#REF!),"")</f>
        <v>#REF!</v>
      </c>
      <c r="Q45" s="37" t="e">
        <f>IF(AND('Mapa final'!#REF!="Baja",'Mapa final'!#REF!="Menor"),CONCATENATE("R10C",'Mapa final'!#REF!),"")</f>
        <v>#REF!</v>
      </c>
      <c r="R45" s="37" t="e">
        <f>IF(AND('Mapa final'!#REF!="Baja",'Mapa final'!#REF!="Menor"),CONCATENATE("R10C",'Mapa final'!#REF!),"")</f>
        <v>#REF!</v>
      </c>
      <c r="S45" s="37" t="e">
        <f>IF(AND('Mapa final'!#REF!="Baja",'Mapa final'!#REF!="Menor"),CONCATENATE("R10C",'Mapa final'!#REF!),"")</f>
        <v>#REF!</v>
      </c>
      <c r="T45" s="37" t="e">
        <f>IF(AND('Mapa final'!#REF!="Baja",'Mapa final'!#REF!="Menor"),CONCATENATE("R10C",'Mapa final'!#REF!),"")</f>
        <v>#REF!</v>
      </c>
      <c r="U45" s="38" t="e">
        <f>IF(AND('Mapa final'!#REF!="Baja",'Mapa final'!#REF!="Menor"),CONCATENATE("R10C",'Mapa final'!#REF!),"")</f>
        <v>#REF!</v>
      </c>
      <c r="V45" s="39" t="e">
        <f>IF(AND('Mapa final'!#REF!="Baja",'Mapa final'!#REF!="Moderado"),CONCATENATE("R10C",'Mapa final'!#REF!),"")</f>
        <v>#REF!</v>
      </c>
      <c r="W45" s="40" t="e">
        <f>IF(AND('Mapa final'!#REF!="Baja",'Mapa final'!#REF!="Moderado"),CONCATENATE("R10C",'Mapa final'!#REF!),"")</f>
        <v>#REF!</v>
      </c>
      <c r="X45" s="40" t="e">
        <f>IF(AND('Mapa final'!#REF!="Baja",'Mapa final'!#REF!="Moderado"),CONCATENATE("R10C",'Mapa final'!#REF!),"")</f>
        <v>#REF!</v>
      </c>
      <c r="Y45" s="40" t="e">
        <f>IF(AND('Mapa final'!#REF!="Baja",'Mapa final'!#REF!="Moderado"),CONCATENATE("R10C",'Mapa final'!#REF!),"")</f>
        <v>#REF!</v>
      </c>
      <c r="Z45" s="40" t="e">
        <f>IF(AND('Mapa final'!#REF!="Baja",'Mapa final'!#REF!="Moderado"),CONCATENATE("R10C",'Mapa final'!#REF!),"")</f>
        <v>#REF!</v>
      </c>
      <c r="AA45" s="41" t="e">
        <f>IF(AND('Mapa final'!#REF!="Baja",'Mapa final'!#REF!="Moderado"),CONCATENATE("R10C",'Mapa final'!#REF!),"")</f>
        <v>#REF!</v>
      </c>
      <c r="AB45" s="27" t="e">
        <f>IF(AND('Mapa final'!#REF!="Baja",'Mapa final'!#REF!="Mayor"),CONCATENATE("R10C",'Mapa final'!#REF!),"")</f>
        <v>#REF!</v>
      </c>
      <c r="AC45" s="28" t="e">
        <f>IF(AND('Mapa final'!#REF!="Baja",'Mapa final'!#REF!="Mayor"),CONCATENATE("R10C",'Mapa final'!#REF!),"")</f>
        <v>#REF!</v>
      </c>
      <c r="AD45" s="28" t="e">
        <f>IF(AND('Mapa final'!#REF!="Baja",'Mapa final'!#REF!="Mayor"),CONCATENATE("R10C",'Mapa final'!#REF!),"")</f>
        <v>#REF!</v>
      </c>
      <c r="AE45" s="28" t="e">
        <f>IF(AND('Mapa final'!#REF!="Baja",'Mapa final'!#REF!="Mayor"),CONCATENATE("R10C",'Mapa final'!#REF!),"")</f>
        <v>#REF!</v>
      </c>
      <c r="AF45" s="28" t="e">
        <f>IF(AND('Mapa final'!#REF!="Baja",'Mapa final'!#REF!="Mayor"),CONCATENATE("R10C",'Mapa final'!#REF!),"")</f>
        <v>#REF!</v>
      </c>
      <c r="AG45" s="29" t="e">
        <f>IF(AND('Mapa final'!#REF!="Baja",'Mapa final'!#REF!="Mayor"),CONCATENATE("R10C",'Mapa final'!#REF!),"")</f>
        <v>#REF!</v>
      </c>
      <c r="AH45" s="30" t="e">
        <f>IF(AND('Mapa final'!#REF!="Baja",'Mapa final'!#REF!="Catastrófico"),CONCATENATE("R10C",'Mapa final'!#REF!),"")</f>
        <v>#REF!</v>
      </c>
      <c r="AI45" s="31" t="e">
        <f>IF(AND('Mapa final'!#REF!="Baja",'Mapa final'!#REF!="Catastrófico"),CONCATENATE("R10C",'Mapa final'!#REF!),"")</f>
        <v>#REF!</v>
      </c>
      <c r="AJ45" s="31" t="e">
        <f>IF(AND('Mapa final'!#REF!="Baja",'Mapa final'!#REF!="Catastrófico"),CONCATENATE("R10C",'Mapa final'!#REF!),"")</f>
        <v>#REF!</v>
      </c>
      <c r="AK45" s="31" t="e">
        <f>IF(AND('Mapa final'!#REF!="Baja",'Mapa final'!#REF!="Catastrófico"),CONCATENATE("R10C",'Mapa final'!#REF!),"")</f>
        <v>#REF!</v>
      </c>
      <c r="AL45" s="31" t="e">
        <f>IF(AND('Mapa final'!#REF!="Baja",'Mapa final'!#REF!="Catastrófico"),CONCATENATE("R10C",'Mapa final'!#REF!),"")</f>
        <v>#REF!</v>
      </c>
      <c r="AM45" s="32" t="e">
        <f>IF(AND('Mapa final'!#REF!="Baja",'Mapa final'!#REF!="Catastrófico"),CONCATENATE("R10C",'Mapa final'!#REF!),"")</f>
        <v>#REF!</v>
      </c>
      <c r="AN45" s="1"/>
      <c r="AO45" s="263"/>
      <c r="AP45" s="264"/>
      <c r="AQ45" s="264"/>
      <c r="AR45" s="264"/>
      <c r="AS45" s="264"/>
      <c r="AT45" s="265"/>
    </row>
    <row r="46" spans="2:46" ht="46.5" customHeight="1" x14ac:dyDescent="0.35">
      <c r="B46" s="278"/>
      <c r="C46" s="201"/>
      <c r="D46" s="202"/>
      <c r="E46" s="286" t="s">
        <v>103</v>
      </c>
      <c r="F46" s="270"/>
      <c r="G46" s="270"/>
      <c r="H46" s="270"/>
      <c r="I46" s="252"/>
      <c r="J46" s="42" t="str">
        <f>IF(AND('Mapa final'!$Y$16="Muy Baja",'Mapa final'!$AA$16="Leve"),CONCATENATE("R1C",'Mapa final'!$O$16),"")</f>
        <v/>
      </c>
      <c r="K46" s="43" t="str">
        <f>IF(AND('Mapa final'!$Y$17="Muy Baja",'Mapa final'!$AA$17="Leve"),CONCATENATE("R1C",'Mapa final'!$O$17),"")</f>
        <v/>
      </c>
      <c r="L46" s="43" t="str">
        <f>IF(AND('Mapa final'!$Y$18="Muy Baja",'Mapa final'!$AA$18="Leve"),CONCATENATE("R1C",'Mapa final'!$O$18),"")</f>
        <v/>
      </c>
      <c r="M46" s="43" t="e">
        <f>IF(AND('Mapa final'!#REF!="Muy Baja",'Mapa final'!#REF!="Leve"),CONCATENATE("R1C",'Mapa final'!#REF!),"")</f>
        <v>#REF!</v>
      </c>
      <c r="N46" s="43" t="e">
        <f>IF(AND('Mapa final'!#REF!="Muy Baja",'Mapa final'!#REF!="Leve"),CONCATENATE("R1C",'Mapa final'!#REF!),"")</f>
        <v>#REF!</v>
      </c>
      <c r="O46" s="44" t="e">
        <f>IF(AND('Mapa final'!#REF!="Muy Baja",'Mapa final'!#REF!="Leve"),CONCATENATE("R1C",'Mapa final'!#REF!),"")</f>
        <v>#REF!</v>
      </c>
      <c r="P46" s="42" t="str">
        <f>IF(AND('Mapa final'!$Y$16="Muy Baja",'Mapa final'!$AA$16="Menor"),CONCATENATE("R1C",'Mapa final'!$O$16),"")</f>
        <v/>
      </c>
      <c r="Q46" s="43" t="str">
        <f>IF(AND('Mapa final'!$Y$17="Muy Baja",'Mapa final'!$AA$17="Menor"),CONCATENATE("R1C",'Mapa final'!$O$17),"")</f>
        <v/>
      </c>
      <c r="R46" s="43" t="str">
        <f>IF(AND('Mapa final'!$Y$18="Muy Baja",'Mapa final'!$AA$18="Menor"),CONCATENATE("R1C",'Mapa final'!$O$18),"")</f>
        <v/>
      </c>
      <c r="S46" s="43" t="e">
        <f>IF(AND('Mapa final'!#REF!="Muy Baja",'Mapa final'!#REF!="Menor"),CONCATENATE("R1C",'Mapa final'!#REF!),"")</f>
        <v>#REF!</v>
      </c>
      <c r="T46" s="43" t="e">
        <f>IF(AND('Mapa final'!#REF!="Muy Baja",'Mapa final'!#REF!="Menor"),CONCATENATE("R1C",'Mapa final'!#REF!),"")</f>
        <v>#REF!</v>
      </c>
      <c r="U46" s="44" t="e">
        <f>IF(AND('Mapa final'!#REF!="Muy Baja",'Mapa final'!#REF!="Menor"),CONCATENATE("R1C",'Mapa final'!#REF!),"")</f>
        <v>#REF!</v>
      </c>
      <c r="V46" s="33" t="str">
        <f>IF(AND('Mapa final'!$Y$16="Muy Baja",'Mapa final'!$AA$16="Moderado"),CONCATENATE("R1C",'Mapa final'!$O$16),"")</f>
        <v/>
      </c>
      <c r="W46" s="51" t="str">
        <f>IF(AND('Mapa final'!$Y$17="Muy Baja",'Mapa final'!$AA$17="Moderado"),CONCATENATE("R1C",'Mapa final'!$O$17),"")</f>
        <v/>
      </c>
      <c r="X46" s="34" t="str">
        <f>IF(AND('Mapa final'!$Y$18="Muy Baja",'Mapa final'!$AA$18="Moderado"),CONCATENATE("R1C",'Mapa final'!$O$18),"")</f>
        <v/>
      </c>
      <c r="Y46" s="34" t="e">
        <f>IF(AND('Mapa final'!#REF!="Muy Baja",'Mapa final'!#REF!="Moderado"),CONCATENATE("R1C",'Mapa final'!#REF!),"")</f>
        <v>#REF!</v>
      </c>
      <c r="Z46" s="34" t="e">
        <f>IF(AND('Mapa final'!#REF!="Muy Baja",'Mapa final'!#REF!="Moderado"),CONCATENATE("R1C",'Mapa final'!#REF!),"")</f>
        <v>#REF!</v>
      </c>
      <c r="AA46" s="35" t="e">
        <f>IF(AND('Mapa final'!#REF!="Muy Baja",'Mapa final'!#REF!="Moderado"),CONCATENATE("R1C",'Mapa final'!#REF!),"")</f>
        <v>#REF!</v>
      </c>
      <c r="AB46" s="15" t="str">
        <f>IF(AND('Mapa final'!$Y$16="Muy Baja",'Mapa final'!$AA$16="Mayor"),CONCATENATE("R1C",'Mapa final'!$O$16),"")</f>
        <v/>
      </c>
      <c r="AC46" s="16" t="str">
        <f>IF(AND('Mapa final'!$Y$17="Muy Baja",'Mapa final'!$AA$17="Mayor"),CONCATENATE("R1C",'Mapa final'!$O$17),"")</f>
        <v/>
      </c>
      <c r="AD46" s="16" t="str">
        <f>IF(AND('Mapa final'!$Y$18="Muy Baja",'Mapa final'!$AA$18="Mayor"),CONCATENATE("R1C",'Mapa final'!$O$18),"")</f>
        <v/>
      </c>
      <c r="AE46" s="16" t="e">
        <f>IF(AND('Mapa final'!#REF!="Muy Baja",'Mapa final'!#REF!="Mayor"),CONCATENATE("R1C",'Mapa final'!#REF!),"")</f>
        <v>#REF!</v>
      </c>
      <c r="AF46" s="16" t="e">
        <f>IF(AND('Mapa final'!#REF!="Muy Baja",'Mapa final'!#REF!="Mayor"),CONCATENATE("R1C",'Mapa final'!#REF!),"")</f>
        <v>#REF!</v>
      </c>
      <c r="AG46" s="17" t="e">
        <f>IF(AND('Mapa final'!#REF!="Muy Baja",'Mapa final'!#REF!="Mayor"),CONCATENATE("R1C",'Mapa final'!#REF!),"")</f>
        <v>#REF!</v>
      </c>
      <c r="AH46" s="18" t="str">
        <f>IF(AND('Mapa final'!$Y$16="Muy Baja",'Mapa final'!$AA$16="Catastrófico"),CONCATENATE("R1C",'Mapa final'!$O$16),"")</f>
        <v/>
      </c>
      <c r="AI46" s="19" t="str">
        <f>IF(AND('Mapa final'!$Y$17="Muy Baja",'Mapa final'!$AA$17="Catastrófico"),CONCATENATE("R1C",'Mapa final'!$O$17),"")</f>
        <v/>
      </c>
      <c r="AJ46" s="19" t="str">
        <f>IF(AND('Mapa final'!$Y$18="Muy Baja",'Mapa final'!$AA$18="Catastrófico"),CONCATENATE("R1C",'Mapa final'!$O$18),"")</f>
        <v/>
      </c>
      <c r="AK46" s="19" t="e">
        <f>IF(AND('Mapa final'!#REF!="Muy Baja",'Mapa final'!#REF!="Catastrófico"),CONCATENATE("R1C",'Mapa final'!#REF!),"")</f>
        <v>#REF!</v>
      </c>
      <c r="AL46" s="19" t="e">
        <f>IF(AND('Mapa final'!#REF!="Muy Baja",'Mapa final'!#REF!="Catastrófico"),CONCATENATE("R1C",'Mapa final'!#REF!),"")</f>
        <v>#REF!</v>
      </c>
      <c r="AM46" s="20" t="e">
        <f>IF(AND('Mapa final'!#REF!="Muy Baja",'Mapa final'!#REF!="Catastrófico"),CONCATENATE("R1C",'Mapa final'!#REF!),"")</f>
        <v>#REF!</v>
      </c>
      <c r="AN46" s="1"/>
      <c r="AO46" s="1"/>
      <c r="AP46" s="1"/>
      <c r="AQ46" s="1"/>
      <c r="AR46" s="1"/>
      <c r="AS46" s="1"/>
      <c r="AT46" s="1"/>
    </row>
    <row r="47" spans="2:46" ht="46.5" customHeight="1" x14ac:dyDescent="0.25">
      <c r="B47" s="278"/>
      <c r="C47" s="201"/>
      <c r="D47" s="202"/>
      <c r="E47" s="213"/>
      <c r="F47" s="201"/>
      <c r="G47" s="201"/>
      <c r="H47" s="201"/>
      <c r="I47" s="202"/>
      <c r="J47" s="45" t="str">
        <f>IF(AND('Mapa final'!$Y$21="Muy Baja",'Mapa final'!$AA$21="Leve"),CONCATENATE("R2C",'Mapa final'!$O$21),"")</f>
        <v/>
      </c>
      <c r="K47" s="46" t="e">
        <f>IF(AND('Mapa final'!#REF!="Muy Baja",'Mapa final'!#REF!="Leve"),CONCATENATE("R2C",'Mapa final'!#REF!),"")</f>
        <v>#REF!</v>
      </c>
      <c r="L47" s="46" t="e">
        <f>IF(AND('Mapa final'!#REF!="Muy Baja",'Mapa final'!#REF!="Leve"),CONCATENATE("R2C",'Mapa final'!#REF!),"")</f>
        <v>#REF!</v>
      </c>
      <c r="M47" s="46" t="e">
        <f>IF(AND('Mapa final'!#REF!="Muy Baja",'Mapa final'!#REF!="Leve"),CONCATENATE("R2C",'Mapa final'!#REF!),"")</f>
        <v>#REF!</v>
      </c>
      <c r="N47" s="46" t="str">
        <f>IF(AND('Mapa final'!$Y$22="Muy Baja",'Mapa final'!$AA$22="Leve"),CONCATENATE("R2C",'Mapa final'!$O$22),"")</f>
        <v/>
      </c>
      <c r="O47" s="47" t="str">
        <f>IF(AND('Mapa final'!$Y$23="Muy Baja",'Mapa final'!$AA$23="Leve"),CONCATENATE("R2C",'Mapa final'!$O$23),"")</f>
        <v/>
      </c>
      <c r="P47" s="45" t="str">
        <f>IF(AND('Mapa final'!$Y$21="Muy Baja",'Mapa final'!$AA$21="Menor"),CONCATENATE("R2C",'Mapa final'!$O$21),"")</f>
        <v/>
      </c>
      <c r="Q47" s="46" t="e">
        <f>IF(AND('Mapa final'!#REF!="Muy Baja",'Mapa final'!#REF!="Menor"),CONCATENATE("R2C",'Mapa final'!#REF!),"")</f>
        <v>#REF!</v>
      </c>
      <c r="R47" s="46" t="e">
        <f>IF(AND('Mapa final'!#REF!="Muy Baja",'Mapa final'!#REF!="Menor"),CONCATENATE("R2C",'Mapa final'!#REF!),"")</f>
        <v>#REF!</v>
      </c>
      <c r="S47" s="46" t="e">
        <f>IF(AND('Mapa final'!#REF!="Muy Baja",'Mapa final'!#REF!="Menor"),CONCATENATE("R2C",'Mapa final'!#REF!),"")</f>
        <v>#REF!</v>
      </c>
      <c r="T47" s="46" t="str">
        <f>IF(AND('Mapa final'!$Y$22="Muy Baja",'Mapa final'!$AA$22="Menor"),CONCATENATE("R2C",'Mapa final'!$O$22),"")</f>
        <v/>
      </c>
      <c r="U47" s="47" t="str">
        <f>IF(AND('Mapa final'!$Y$23="Muy Baja",'Mapa final'!$AA$23="Menor"),CONCATENATE("R2C",'Mapa final'!$O$23),"")</f>
        <v/>
      </c>
      <c r="V47" s="36" t="str">
        <f>IF(AND('Mapa final'!$Y$21="Muy Baja",'Mapa final'!$AA$21="Moderado"),CONCATENATE("R2C",'Mapa final'!$O$21),"")</f>
        <v/>
      </c>
      <c r="W47" s="37" t="e">
        <f>IF(AND('Mapa final'!#REF!="Muy Baja",'Mapa final'!#REF!="Moderado"),CONCATENATE("R2C",'Mapa final'!#REF!),"")</f>
        <v>#REF!</v>
      </c>
      <c r="X47" s="37" t="e">
        <f>IF(AND('Mapa final'!#REF!="Muy Baja",'Mapa final'!#REF!="Moderado"),CONCATENATE("R2C",'Mapa final'!#REF!),"")</f>
        <v>#REF!</v>
      </c>
      <c r="Y47" s="37" t="e">
        <f>IF(AND('Mapa final'!#REF!="Muy Baja",'Mapa final'!#REF!="Moderado"),CONCATENATE("R2C",'Mapa final'!#REF!),"")</f>
        <v>#REF!</v>
      </c>
      <c r="Z47" s="37" t="str">
        <f>IF(AND('Mapa final'!$Y$22="Muy Baja",'Mapa final'!$AA$22="Moderado"),CONCATENATE("R2C",'Mapa final'!$O$22),"")</f>
        <v/>
      </c>
      <c r="AA47" s="38" t="str">
        <f>IF(AND('Mapa final'!$Y$23="Muy Baja",'Mapa final'!$AA$23="Moderado"),CONCATENATE("R2C",'Mapa final'!$O$23),"")</f>
        <v/>
      </c>
      <c r="AB47" s="21" t="str">
        <f>IF(AND('Mapa final'!$Y$21="Muy Baja",'Mapa final'!$AA$21="Mayor"),CONCATENATE("R2C",'Mapa final'!$O$21),"")</f>
        <v/>
      </c>
      <c r="AC47" s="22" t="e">
        <f>IF(AND('Mapa final'!#REF!="Muy Baja",'Mapa final'!#REF!="Mayor"),CONCATENATE("R2C",'Mapa final'!#REF!),"")</f>
        <v>#REF!</v>
      </c>
      <c r="AD47" s="22" t="e">
        <f>IF(AND('Mapa final'!#REF!="Muy Baja",'Mapa final'!#REF!="Mayor"),CONCATENATE("R2C",'Mapa final'!#REF!),"")</f>
        <v>#REF!</v>
      </c>
      <c r="AE47" s="22" t="e">
        <f>IF(AND('Mapa final'!#REF!="Muy Baja",'Mapa final'!#REF!="Mayor"),CONCATENATE("R2C",'Mapa final'!#REF!),"")</f>
        <v>#REF!</v>
      </c>
      <c r="AF47" s="22" t="str">
        <f>IF(AND('Mapa final'!$Y$22="Muy Baja",'Mapa final'!$AA$22="Mayor"),CONCATENATE("R2C",'Mapa final'!$O$22),"")</f>
        <v/>
      </c>
      <c r="AG47" s="23" t="str">
        <f>IF(AND('Mapa final'!$Y$23="Muy Baja",'Mapa final'!$AA$23="Mayor"),CONCATENATE("R2C",'Mapa final'!$O$23),"")</f>
        <v/>
      </c>
      <c r="AH47" s="24" t="str">
        <f>IF(AND('Mapa final'!$Y$21="Muy Baja",'Mapa final'!$AA$21="Catastrófico"),CONCATENATE("R2C",'Mapa final'!$O$21),"")</f>
        <v/>
      </c>
      <c r="AI47" s="25" t="e">
        <f>IF(AND('Mapa final'!#REF!="Muy Baja",'Mapa final'!#REF!="Catastrófico"),CONCATENATE("R2C",'Mapa final'!#REF!),"")</f>
        <v>#REF!</v>
      </c>
      <c r="AJ47" s="25" t="e">
        <f>IF(AND('Mapa final'!#REF!="Muy Baja",'Mapa final'!#REF!="Catastrófico"),CONCATENATE("R2C",'Mapa final'!#REF!),"")</f>
        <v>#REF!</v>
      </c>
      <c r="AK47" s="25" t="e">
        <f>IF(AND('Mapa final'!#REF!="Muy Baja",'Mapa final'!#REF!="Catastrófico"),CONCATENATE("R2C",'Mapa final'!#REF!),"")</f>
        <v>#REF!</v>
      </c>
      <c r="AL47" s="25" t="str">
        <f>IF(AND('Mapa final'!$Y$22="Muy Baja",'Mapa final'!$AA$22="Catastrófico"),CONCATENATE("R2C",'Mapa final'!$O$22),"")</f>
        <v/>
      </c>
      <c r="AM47" s="26" t="str">
        <f>IF(AND('Mapa final'!$Y$23="Muy Baja",'Mapa final'!$AA$23="Catastrófico"),CONCATENATE("R2C",'Mapa final'!$O$23),"")</f>
        <v/>
      </c>
      <c r="AN47" s="1"/>
      <c r="AO47" s="1"/>
      <c r="AP47" s="1"/>
      <c r="AQ47" s="1"/>
      <c r="AR47" s="1"/>
      <c r="AS47" s="1"/>
      <c r="AT47" s="1"/>
    </row>
    <row r="48" spans="2:46" ht="15" customHeight="1" x14ac:dyDescent="0.25">
      <c r="B48" s="278"/>
      <c r="C48" s="201"/>
      <c r="D48" s="202"/>
      <c r="E48" s="213"/>
      <c r="F48" s="201"/>
      <c r="G48" s="201"/>
      <c r="H48" s="201"/>
      <c r="I48" s="202"/>
      <c r="J48" s="45" t="str">
        <f>IF(AND('Mapa final'!$Y$26="Muy Baja",'Mapa final'!$AA$26="Leve"),CONCATENATE("R3C",'Mapa final'!$O$26),"")</f>
        <v/>
      </c>
      <c r="K48" s="46" t="str">
        <f>IF(AND('Mapa final'!$Y$27="Muy Baja",'Mapa final'!$AA$27="Leve"),CONCATENATE("R3C",'Mapa final'!$O$27),"")</f>
        <v/>
      </c>
      <c r="L48" s="46" t="str">
        <f>IF(AND('Mapa final'!$Y$28="Muy Baja",'Mapa final'!$AA$28="Leve"),CONCATENATE("R3C",'Mapa final'!$O$28),"")</f>
        <v/>
      </c>
      <c r="M48" s="46" t="e">
        <f>IF(AND('Mapa final'!#REF!="Muy Baja",'Mapa final'!#REF!="Leve"),CONCATENATE("R3C",'Mapa final'!#REF!),"")</f>
        <v>#REF!</v>
      </c>
      <c r="N48" s="46" t="e">
        <f>IF(AND('Mapa final'!#REF!="Muy Baja",'Mapa final'!#REF!="Leve"),CONCATENATE("R3C",'Mapa final'!#REF!),"")</f>
        <v>#REF!</v>
      </c>
      <c r="O48" s="47" t="e">
        <f>IF(AND('Mapa final'!#REF!="Muy Baja",'Mapa final'!#REF!="Leve"),CONCATENATE("R3C",'Mapa final'!#REF!),"")</f>
        <v>#REF!</v>
      </c>
      <c r="P48" s="45" t="str">
        <f>IF(AND('Mapa final'!$Y$26="Muy Baja",'Mapa final'!$AA$26="Menor"),CONCATENATE("R3C",'Mapa final'!$O$26),"")</f>
        <v/>
      </c>
      <c r="Q48" s="46" t="str">
        <f>IF(AND('Mapa final'!$Y$27="Muy Baja",'Mapa final'!$AA$27="Menor"),CONCATENATE("R3C",'Mapa final'!$O$27),"")</f>
        <v/>
      </c>
      <c r="R48" s="46" t="str">
        <f>IF(AND('Mapa final'!$Y$28="Muy Baja",'Mapa final'!$AA$28="Menor"),CONCATENATE("R3C",'Mapa final'!$O$28),"")</f>
        <v/>
      </c>
      <c r="S48" s="46" t="e">
        <f>IF(AND('Mapa final'!#REF!="Muy Baja",'Mapa final'!#REF!="Menor"),CONCATENATE("R3C",'Mapa final'!#REF!),"")</f>
        <v>#REF!</v>
      </c>
      <c r="T48" s="46" t="e">
        <f>IF(AND('Mapa final'!#REF!="Muy Baja",'Mapa final'!#REF!="Menor"),CONCATENATE("R3C",'Mapa final'!#REF!),"")</f>
        <v>#REF!</v>
      </c>
      <c r="U48" s="47" t="e">
        <f>IF(AND('Mapa final'!#REF!="Muy Baja",'Mapa final'!#REF!="Menor"),CONCATENATE("R3C",'Mapa final'!#REF!),"")</f>
        <v>#REF!</v>
      </c>
      <c r="V48" s="36" t="str">
        <f>IF(AND('Mapa final'!$Y$26="Muy Baja",'Mapa final'!$AA$26="Moderado"),CONCATENATE("R3C",'Mapa final'!$O$26),"")</f>
        <v/>
      </c>
      <c r="W48" s="37" t="str">
        <f>IF(AND('Mapa final'!$Y$27="Muy Baja",'Mapa final'!$AA$27="Moderado"),CONCATENATE("R3C",'Mapa final'!$O$27),"")</f>
        <v/>
      </c>
      <c r="X48" s="37" t="str">
        <f>IF(AND('Mapa final'!$Y$28="Muy Baja",'Mapa final'!$AA$28="Moderado"),CONCATENATE("R3C",'Mapa final'!$O$28),"")</f>
        <v/>
      </c>
      <c r="Y48" s="37" t="e">
        <f>IF(AND('Mapa final'!#REF!="Muy Baja",'Mapa final'!#REF!="Moderado"),CONCATENATE("R3C",'Mapa final'!#REF!),"")</f>
        <v>#REF!</v>
      </c>
      <c r="Z48" s="37" t="e">
        <f>IF(AND('Mapa final'!#REF!="Muy Baja",'Mapa final'!#REF!="Moderado"),CONCATENATE("R3C",'Mapa final'!#REF!),"")</f>
        <v>#REF!</v>
      </c>
      <c r="AA48" s="38" t="e">
        <f>IF(AND('Mapa final'!#REF!="Muy Baja",'Mapa final'!#REF!="Moderado"),CONCATENATE("R3C",'Mapa final'!#REF!),"")</f>
        <v>#REF!</v>
      </c>
      <c r="AB48" s="21" t="str">
        <f>IF(AND('Mapa final'!$Y$26="Muy Baja",'Mapa final'!$AA$26="Mayor"),CONCATENATE("R3C",'Mapa final'!$O$26),"")</f>
        <v/>
      </c>
      <c r="AC48" s="22" t="str">
        <f>IF(AND('Mapa final'!$Y$27="Muy Baja",'Mapa final'!$AA$27="Mayor"),CONCATENATE("R3C",'Mapa final'!$O$27),"")</f>
        <v/>
      </c>
      <c r="AD48" s="22" t="str">
        <f>IF(AND('Mapa final'!$Y$28="Muy Baja",'Mapa final'!$AA$28="Mayor"),CONCATENATE("R3C",'Mapa final'!$O$28),"")</f>
        <v/>
      </c>
      <c r="AE48" s="22" t="e">
        <f>IF(AND('Mapa final'!#REF!="Muy Baja",'Mapa final'!#REF!="Mayor"),CONCATENATE("R3C",'Mapa final'!#REF!),"")</f>
        <v>#REF!</v>
      </c>
      <c r="AF48" s="22" t="e">
        <f>IF(AND('Mapa final'!#REF!="Muy Baja",'Mapa final'!#REF!="Mayor"),CONCATENATE("R3C",'Mapa final'!#REF!),"")</f>
        <v>#REF!</v>
      </c>
      <c r="AG48" s="23" t="e">
        <f>IF(AND('Mapa final'!#REF!="Muy Baja",'Mapa final'!#REF!="Mayor"),CONCATENATE("R3C",'Mapa final'!#REF!),"")</f>
        <v>#REF!</v>
      </c>
      <c r="AH48" s="24" t="str">
        <f>IF(AND('Mapa final'!$Y$26="Muy Baja",'Mapa final'!$AA$26="Catastrófico"),CONCATENATE("R3C",'Mapa final'!$O$26),"")</f>
        <v/>
      </c>
      <c r="AI48" s="25" t="str">
        <f>IF(AND('Mapa final'!$Y$27="Muy Baja",'Mapa final'!$AA$27="Catastrófico"),CONCATENATE("R3C",'Mapa final'!$O$27),"")</f>
        <v/>
      </c>
      <c r="AJ48" s="25" t="str">
        <f>IF(AND('Mapa final'!$Y$28="Muy Baja",'Mapa final'!$AA$28="Catastrófico"),CONCATENATE("R3C",'Mapa final'!$O$28),"")</f>
        <v/>
      </c>
      <c r="AK48" s="25" t="e">
        <f>IF(AND('Mapa final'!#REF!="Muy Baja",'Mapa final'!#REF!="Catastrófico"),CONCATENATE("R3C",'Mapa final'!#REF!),"")</f>
        <v>#REF!</v>
      </c>
      <c r="AL48" s="25" t="e">
        <f>IF(AND('Mapa final'!#REF!="Muy Baja",'Mapa final'!#REF!="Catastrófico"),CONCATENATE("R3C",'Mapa final'!#REF!),"")</f>
        <v>#REF!</v>
      </c>
      <c r="AM48" s="26" t="e">
        <f>IF(AND('Mapa final'!#REF!="Muy Baja",'Mapa final'!#REF!="Catastrófico"),CONCATENATE("R3C",'Mapa final'!#REF!),"")</f>
        <v>#REF!</v>
      </c>
      <c r="AN48" s="1"/>
      <c r="AO48" s="1"/>
      <c r="AP48" s="1"/>
      <c r="AQ48" s="1"/>
      <c r="AR48" s="1"/>
      <c r="AS48" s="1"/>
      <c r="AT48" s="1"/>
    </row>
    <row r="49" spans="2:39" ht="15" customHeight="1" x14ac:dyDescent="0.25">
      <c r="B49" s="278"/>
      <c r="C49" s="201"/>
      <c r="D49" s="202"/>
      <c r="E49" s="213"/>
      <c r="F49" s="201"/>
      <c r="G49" s="201"/>
      <c r="H49" s="201"/>
      <c r="I49" s="202"/>
      <c r="J49" s="45" t="str">
        <f>IF(AND('Mapa final'!$Y$31="Muy Baja",'Mapa final'!$AA$31="Leve"),CONCATENATE("R4C",'Mapa final'!$O$31),"")</f>
        <v/>
      </c>
      <c r="K49" s="46" t="str">
        <f>IF(AND('Mapa final'!$Y$32="Muy Baja",'Mapa final'!$AA$32="Leve"),CONCATENATE("R4C",'Mapa final'!$O$32),"")</f>
        <v/>
      </c>
      <c r="L49" s="46" t="e">
        <f>IF(AND('Mapa final'!#REF!="Muy Baja",'Mapa final'!#REF!="Leve"),CONCATENATE("R4C",'Mapa final'!#REF!),"")</f>
        <v>#REF!</v>
      </c>
      <c r="M49" s="46" t="str">
        <f>IF(AND('Mapa final'!$Y$33="Muy Baja",'Mapa final'!$AA$33="Leve"),CONCATENATE("R4C",'Mapa final'!$O$33),"")</f>
        <v/>
      </c>
      <c r="N49" s="46" t="e">
        <f>IF(AND('Mapa final'!#REF!="Muy Baja",'Mapa final'!#REF!="Leve"),CONCATENATE("R4C",'Mapa final'!#REF!),"")</f>
        <v>#REF!</v>
      </c>
      <c r="O49" s="47" t="e">
        <f>IF(AND('Mapa final'!#REF!="Muy Baja",'Mapa final'!#REF!="Leve"),CONCATENATE("R4C",'Mapa final'!#REF!),"")</f>
        <v>#REF!</v>
      </c>
      <c r="P49" s="45" t="str">
        <f>IF(AND('Mapa final'!$Y$31="Muy Baja",'Mapa final'!$AA$31="Menor"),CONCATENATE("R4C",'Mapa final'!$O$31),"")</f>
        <v/>
      </c>
      <c r="Q49" s="46" t="str">
        <f>IF(AND('Mapa final'!$Y$32="Muy Baja",'Mapa final'!$AA$32="Menor"),CONCATENATE("R4C",'Mapa final'!$O$32),"")</f>
        <v/>
      </c>
      <c r="R49" s="46" t="e">
        <f>IF(AND('Mapa final'!#REF!="Muy Baja",'Mapa final'!#REF!="Menor"),CONCATENATE("R4C",'Mapa final'!#REF!),"")</f>
        <v>#REF!</v>
      </c>
      <c r="S49" s="46" t="str">
        <f>IF(AND('Mapa final'!$Y$33="Muy Baja",'Mapa final'!$AA$33="Menor"),CONCATENATE("R4C",'Mapa final'!$O$33),"")</f>
        <v/>
      </c>
      <c r="T49" s="46" t="e">
        <f>IF(AND('Mapa final'!#REF!="Muy Baja",'Mapa final'!#REF!="Menor"),CONCATENATE("R4C",'Mapa final'!#REF!),"")</f>
        <v>#REF!</v>
      </c>
      <c r="U49" s="47" t="e">
        <f>IF(AND('Mapa final'!#REF!="Muy Baja",'Mapa final'!#REF!="Menor"),CONCATENATE("R4C",'Mapa final'!#REF!),"")</f>
        <v>#REF!</v>
      </c>
      <c r="V49" s="36" t="str">
        <f>IF(AND('Mapa final'!$Y$31="Muy Baja",'Mapa final'!$AA$31="Moderado"),CONCATENATE("R4C",'Mapa final'!$O$31),"")</f>
        <v/>
      </c>
      <c r="W49" s="37" t="str">
        <f>IF(AND('Mapa final'!$Y$32="Muy Baja",'Mapa final'!$AA$32="Moderado"),CONCATENATE("R4C",'Mapa final'!$O$32),"")</f>
        <v/>
      </c>
      <c r="X49" s="37" t="e">
        <f>IF(AND('Mapa final'!#REF!="Muy Baja",'Mapa final'!#REF!="Moderado"),CONCATENATE("R4C",'Mapa final'!#REF!),"")</f>
        <v>#REF!</v>
      </c>
      <c r="Y49" s="37" t="str">
        <f>IF(AND('Mapa final'!$Y$33="Muy Baja",'Mapa final'!$AA$33="Moderado"),CONCATENATE("R4C",'Mapa final'!$O$33),"")</f>
        <v/>
      </c>
      <c r="Z49" s="37" t="e">
        <f>IF(AND('Mapa final'!#REF!="Muy Baja",'Mapa final'!#REF!="Moderado"),CONCATENATE("R4C",'Mapa final'!#REF!),"")</f>
        <v>#REF!</v>
      </c>
      <c r="AA49" s="38" t="e">
        <f>IF(AND('Mapa final'!#REF!="Muy Baja",'Mapa final'!#REF!="Moderado"),CONCATENATE("R4C",'Mapa final'!#REF!),"")</f>
        <v>#REF!</v>
      </c>
      <c r="AB49" s="21" t="str">
        <f>IF(AND('Mapa final'!$Y$31="Muy Baja",'Mapa final'!$AA$31="Mayor"),CONCATENATE("R4C",'Mapa final'!$O$31),"")</f>
        <v/>
      </c>
      <c r="AC49" s="22" t="str">
        <f>IF(AND('Mapa final'!$Y$32="Muy Baja",'Mapa final'!$AA$32="Mayor"),CONCATENATE("R4C",'Mapa final'!$O$32),"")</f>
        <v/>
      </c>
      <c r="AD49" s="22" t="e">
        <f>IF(AND('Mapa final'!#REF!="Muy Baja",'Mapa final'!#REF!="Mayor"),CONCATENATE("R4C",'Mapa final'!#REF!),"")</f>
        <v>#REF!</v>
      </c>
      <c r="AE49" s="22" t="str">
        <f>IF(AND('Mapa final'!$Y$33="Muy Baja",'Mapa final'!$AA$33="Mayor"),CONCATENATE("R4C",'Mapa final'!$O$33),"")</f>
        <v/>
      </c>
      <c r="AF49" s="22" t="e">
        <f>IF(AND('Mapa final'!#REF!="Muy Baja",'Mapa final'!#REF!="Mayor"),CONCATENATE("R4C",'Mapa final'!#REF!),"")</f>
        <v>#REF!</v>
      </c>
      <c r="AG49" s="23" t="e">
        <f>IF(AND('Mapa final'!#REF!="Muy Baja",'Mapa final'!#REF!="Mayor"),CONCATENATE("R4C",'Mapa final'!#REF!),"")</f>
        <v>#REF!</v>
      </c>
      <c r="AH49" s="24" t="str">
        <f>IF(AND('Mapa final'!$Y$31="Muy Baja",'Mapa final'!$AA$31="Catastrófico"),CONCATENATE("R4C",'Mapa final'!$O$31),"")</f>
        <v/>
      </c>
      <c r="AI49" s="25" t="str">
        <f>IF(AND('Mapa final'!$Y$32="Muy Baja",'Mapa final'!$AA$32="Catastrófico"),CONCATENATE("R4C",'Mapa final'!$O$32),"")</f>
        <v/>
      </c>
      <c r="AJ49" s="25" t="e">
        <f>IF(AND('Mapa final'!#REF!="Muy Baja",'Mapa final'!#REF!="Catastrófico"),CONCATENATE("R4C",'Mapa final'!#REF!),"")</f>
        <v>#REF!</v>
      </c>
      <c r="AK49" s="25" t="str">
        <f>IF(AND('Mapa final'!$Y$33="Muy Baja",'Mapa final'!$AA$33="Catastrófico"),CONCATENATE("R4C",'Mapa final'!$O$33),"")</f>
        <v/>
      </c>
      <c r="AL49" s="25" t="e">
        <f>IF(AND('Mapa final'!#REF!="Muy Baja",'Mapa final'!#REF!="Catastrófico"),CONCATENATE("R4C",'Mapa final'!#REF!),"")</f>
        <v>#REF!</v>
      </c>
      <c r="AM49" s="26" t="e">
        <f>IF(AND('Mapa final'!#REF!="Muy Baja",'Mapa final'!#REF!="Catastrófico"),CONCATENATE("R4C",'Mapa final'!#REF!),"")</f>
        <v>#REF!</v>
      </c>
    </row>
    <row r="50" spans="2:39" ht="15" customHeight="1" x14ac:dyDescent="0.25">
      <c r="B50" s="278"/>
      <c r="C50" s="201"/>
      <c r="D50" s="202"/>
      <c r="E50" s="213"/>
      <c r="F50" s="201"/>
      <c r="G50" s="201"/>
      <c r="H50" s="201"/>
      <c r="I50" s="202"/>
      <c r="J50" s="45" t="str">
        <f>IF(AND('Mapa final'!$Y$36="Muy Baja",'Mapa final'!$AA$36="Leve"),CONCATENATE("R5C",'Mapa final'!$O$36),"")</f>
        <v/>
      </c>
      <c r="K50" s="46" t="str">
        <f>IF(AND('Mapa final'!$Y$37="Muy Baja",'Mapa final'!$AA$37="Leve"),CONCATENATE("R5C",'Mapa final'!$O$37),"")</f>
        <v/>
      </c>
      <c r="L50" s="46" t="str">
        <f>IF(AND('Mapa final'!$Y$38="Muy Baja",'Mapa final'!$AA$38="Leve"),CONCATENATE("R5C",'Mapa final'!$O$38),"")</f>
        <v/>
      </c>
      <c r="M50" s="46" t="e">
        <f>IF(AND('Mapa final'!#REF!="Muy Baja",'Mapa final'!#REF!="Leve"),CONCATENATE("R5C",'Mapa final'!#REF!),"")</f>
        <v>#REF!</v>
      </c>
      <c r="N50" s="46" t="e">
        <f>IF(AND('Mapa final'!#REF!="Muy Baja",'Mapa final'!#REF!="Leve"),CONCATENATE("R5C",'Mapa final'!#REF!),"")</f>
        <v>#REF!</v>
      </c>
      <c r="O50" s="47" t="e">
        <f>IF(AND('Mapa final'!#REF!="Muy Baja",'Mapa final'!#REF!="Leve"),CONCATENATE("R5C",'Mapa final'!#REF!),"")</f>
        <v>#REF!</v>
      </c>
      <c r="P50" s="45" t="str">
        <f>IF(AND('Mapa final'!$Y$36="Muy Baja",'Mapa final'!$AA$36="Menor"),CONCATENATE("R5C",'Mapa final'!$O$36),"")</f>
        <v/>
      </c>
      <c r="Q50" s="46" t="str">
        <f>IF(AND('Mapa final'!$Y$37="Muy Baja",'Mapa final'!$AA$37="Menor"),CONCATENATE("R5C",'Mapa final'!$O$37),"")</f>
        <v/>
      </c>
      <c r="R50" s="46" t="str">
        <f>IF(AND('Mapa final'!$Y$38="Muy Baja",'Mapa final'!$AA$38="Menor"),CONCATENATE("R5C",'Mapa final'!$O$38),"")</f>
        <v/>
      </c>
      <c r="S50" s="46" t="e">
        <f>IF(AND('Mapa final'!#REF!="Muy Baja",'Mapa final'!#REF!="Menor"),CONCATENATE("R5C",'Mapa final'!#REF!),"")</f>
        <v>#REF!</v>
      </c>
      <c r="T50" s="46" t="e">
        <f>IF(AND('Mapa final'!#REF!="Muy Baja",'Mapa final'!#REF!="Menor"),CONCATENATE("R5C",'Mapa final'!#REF!),"")</f>
        <v>#REF!</v>
      </c>
      <c r="U50" s="47" t="e">
        <f>IF(AND('Mapa final'!#REF!="Muy Baja",'Mapa final'!#REF!="Menor"),CONCATENATE("R5C",'Mapa final'!#REF!),"")</f>
        <v>#REF!</v>
      </c>
      <c r="V50" s="36" t="str">
        <f>IF(AND('Mapa final'!$Y$36="Muy Baja",'Mapa final'!$AA$36="Moderado"),CONCATENATE("R5C",'Mapa final'!$O$36),"")</f>
        <v/>
      </c>
      <c r="W50" s="37" t="str">
        <f>IF(AND('Mapa final'!$Y$37="Muy Baja",'Mapa final'!$AA$37="Moderado"),CONCATENATE("R5C",'Mapa final'!$O$37),"")</f>
        <v/>
      </c>
      <c r="X50" s="37" t="str">
        <f>IF(AND('Mapa final'!$Y$38="Muy Baja",'Mapa final'!$AA$38="Moderado"),CONCATENATE("R5C",'Mapa final'!$O$38),"")</f>
        <v/>
      </c>
      <c r="Y50" s="37" t="e">
        <f>IF(AND('Mapa final'!#REF!="Muy Baja",'Mapa final'!#REF!="Moderado"),CONCATENATE("R5C",'Mapa final'!#REF!),"")</f>
        <v>#REF!</v>
      </c>
      <c r="Z50" s="37" t="e">
        <f>IF(AND('Mapa final'!#REF!="Muy Baja",'Mapa final'!#REF!="Moderado"),CONCATENATE("R5C",'Mapa final'!#REF!),"")</f>
        <v>#REF!</v>
      </c>
      <c r="AA50" s="38" t="e">
        <f>IF(AND('Mapa final'!#REF!="Muy Baja",'Mapa final'!#REF!="Moderado"),CONCATENATE("R5C",'Mapa final'!#REF!),"")</f>
        <v>#REF!</v>
      </c>
      <c r="AB50" s="21" t="str">
        <f>IF(AND('Mapa final'!$Y$36="Muy Baja",'Mapa final'!$AA$36="Mayor"),CONCATENATE("R5C",'Mapa final'!$O$36),"")</f>
        <v/>
      </c>
      <c r="AC50" s="22" t="str">
        <f>IF(AND('Mapa final'!$Y$37="Muy Baja",'Mapa final'!$AA$37="Mayor"),CONCATENATE("R5C",'Mapa final'!$O$37),"")</f>
        <v/>
      </c>
      <c r="AD50" s="22" t="str">
        <f>IF(AND('Mapa final'!$Y$38="Muy Baja",'Mapa final'!$AA$38="Mayor"),CONCATENATE("R5C",'Mapa final'!$O$38),"")</f>
        <v/>
      </c>
      <c r="AE50" s="22" t="e">
        <f>IF(AND('Mapa final'!#REF!="Muy Baja",'Mapa final'!#REF!="Mayor"),CONCATENATE("R5C",'Mapa final'!#REF!),"")</f>
        <v>#REF!</v>
      </c>
      <c r="AF50" s="22" t="e">
        <f>IF(AND('Mapa final'!#REF!="Muy Baja",'Mapa final'!#REF!="Mayor"),CONCATENATE("R5C",'Mapa final'!#REF!),"")</f>
        <v>#REF!</v>
      </c>
      <c r="AG50" s="23" t="e">
        <f>IF(AND('Mapa final'!#REF!="Muy Baja",'Mapa final'!#REF!="Mayor"),CONCATENATE("R5C",'Mapa final'!#REF!),"")</f>
        <v>#REF!</v>
      </c>
      <c r="AH50" s="24" t="str">
        <f>IF(AND('Mapa final'!$Y$36="Muy Baja",'Mapa final'!$AA$36="Catastrófico"),CONCATENATE("R5C",'Mapa final'!$O$36),"")</f>
        <v/>
      </c>
      <c r="AI50" s="25" t="str">
        <f>IF(AND('Mapa final'!$Y$37="Muy Baja",'Mapa final'!$AA$37="Catastrófico"),CONCATENATE("R5C",'Mapa final'!$O$37),"")</f>
        <v/>
      </c>
      <c r="AJ50" s="25" t="str">
        <f>IF(AND('Mapa final'!$Y$38="Muy Baja",'Mapa final'!$AA$38="Catastrófico"),CONCATENATE("R5C",'Mapa final'!$O$38),"")</f>
        <v/>
      </c>
      <c r="AK50" s="25" t="e">
        <f>IF(AND('Mapa final'!#REF!="Muy Baja",'Mapa final'!#REF!="Catastrófico"),CONCATENATE("R5C",'Mapa final'!#REF!),"")</f>
        <v>#REF!</v>
      </c>
      <c r="AL50" s="25" t="e">
        <f>IF(AND('Mapa final'!#REF!="Muy Baja",'Mapa final'!#REF!="Catastrófico"),CONCATENATE("R5C",'Mapa final'!#REF!),"")</f>
        <v>#REF!</v>
      </c>
      <c r="AM50" s="26" t="e">
        <f>IF(AND('Mapa final'!#REF!="Muy Baja",'Mapa final'!#REF!="Catastrófico"),CONCATENATE("R5C",'Mapa final'!#REF!),"")</f>
        <v>#REF!</v>
      </c>
    </row>
    <row r="51" spans="2:39" ht="15" customHeight="1" x14ac:dyDescent="0.25">
      <c r="B51" s="278"/>
      <c r="C51" s="201"/>
      <c r="D51" s="202"/>
      <c r="E51" s="213"/>
      <c r="F51" s="201"/>
      <c r="G51" s="201"/>
      <c r="H51" s="201"/>
      <c r="I51" s="202"/>
      <c r="J51" s="45" t="str">
        <f>IF(AND('Mapa final'!$Y$41="Muy Baja",'Mapa final'!$AA$41="Leve"),CONCATENATE("R6C",'Mapa final'!$O$41),"")</f>
        <v/>
      </c>
      <c r="K51" s="46" t="str">
        <f>IF(AND('Mapa final'!$Y$42="Muy Baja",'Mapa final'!$AA$42="Leve"),CONCATENATE("R6C",'Mapa final'!$O$42),"")</f>
        <v/>
      </c>
      <c r="L51" s="46" t="str">
        <f>IF(AND('Mapa final'!$Y$43="Muy Baja",'Mapa final'!$AA$43="Leve"),CONCATENATE("R6C",'Mapa final'!$O$43),"")</f>
        <v/>
      </c>
      <c r="M51" s="46" t="e">
        <f>IF(AND('Mapa final'!#REF!="Muy Baja",'Mapa final'!#REF!="Leve"),CONCATENATE("R6C",'Mapa final'!#REF!),"")</f>
        <v>#REF!</v>
      </c>
      <c r="N51" s="46" t="e">
        <f>IF(AND('Mapa final'!#REF!="Muy Baja",'Mapa final'!#REF!="Leve"),CONCATENATE("R6C",'Mapa final'!#REF!),"")</f>
        <v>#REF!</v>
      </c>
      <c r="O51" s="47" t="e">
        <f>IF(AND('Mapa final'!#REF!="Muy Baja",'Mapa final'!#REF!="Leve"),CONCATENATE("R6C",'Mapa final'!#REF!),"")</f>
        <v>#REF!</v>
      </c>
      <c r="P51" s="45" t="str">
        <f>IF(AND('Mapa final'!$Y$41="Muy Baja",'Mapa final'!$AA$41="Menor"),CONCATENATE("R6C",'Mapa final'!$O$41),"")</f>
        <v/>
      </c>
      <c r="Q51" s="46" t="str">
        <f>IF(AND('Mapa final'!$Y$42="Muy Baja",'Mapa final'!$AA$42="Menor"),CONCATENATE("R6C",'Mapa final'!$O$42),"")</f>
        <v/>
      </c>
      <c r="R51" s="46" t="str">
        <f>IF(AND('Mapa final'!$Y$43="Muy Baja",'Mapa final'!$AA$43="Menor"),CONCATENATE("R6C",'Mapa final'!$O$43),"")</f>
        <v/>
      </c>
      <c r="S51" s="46" t="e">
        <f>IF(AND('Mapa final'!#REF!="Muy Baja",'Mapa final'!#REF!="Menor"),CONCATENATE("R6C",'Mapa final'!#REF!),"")</f>
        <v>#REF!</v>
      </c>
      <c r="T51" s="46" t="e">
        <f>IF(AND('Mapa final'!#REF!="Muy Baja",'Mapa final'!#REF!="Menor"),CONCATENATE("R6C",'Mapa final'!#REF!),"")</f>
        <v>#REF!</v>
      </c>
      <c r="U51" s="47" t="e">
        <f>IF(AND('Mapa final'!#REF!="Muy Baja",'Mapa final'!#REF!="Menor"),CONCATENATE("R6C",'Mapa final'!#REF!),"")</f>
        <v>#REF!</v>
      </c>
      <c r="V51" s="36" t="str">
        <f>IF(AND('Mapa final'!$Y$41="Muy Baja",'Mapa final'!$AA$41="Moderado"),CONCATENATE("R6C",'Mapa final'!$O$41),"")</f>
        <v/>
      </c>
      <c r="W51" s="37" t="str">
        <f>IF(AND('Mapa final'!$Y$42="Muy Baja",'Mapa final'!$AA$42="Moderado"),CONCATENATE("R6C",'Mapa final'!$O$42),"")</f>
        <v/>
      </c>
      <c r="X51" s="37" t="str">
        <f>IF(AND('Mapa final'!$Y$43="Muy Baja",'Mapa final'!$AA$43="Moderado"),CONCATENATE("R6C",'Mapa final'!$O$43),"")</f>
        <v/>
      </c>
      <c r="Y51" s="37" t="e">
        <f>IF(AND('Mapa final'!#REF!="Muy Baja",'Mapa final'!#REF!="Moderado"),CONCATENATE("R6C",'Mapa final'!#REF!),"")</f>
        <v>#REF!</v>
      </c>
      <c r="Z51" s="37" t="e">
        <f>IF(AND('Mapa final'!#REF!="Muy Baja",'Mapa final'!#REF!="Moderado"),CONCATENATE("R6C",'Mapa final'!#REF!),"")</f>
        <v>#REF!</v>
      </c>
      <c r="AA51" s="38" t="e">
        <f>IF(AND('Mapa final'!#REF!="Muy Baja",'Mapa final'!#REF!="Moderado"),CONCATENATE("R6C",'Mapa final'!#REF!),"")</f>
        <v>#REF!</v>
      </c>
      <c r="AB51" s="21" t="str">
        <f>IF(AND('Mapa final'!$Y$41="Muy Baja",'Mapa final'!$AA$41="Mayor"),CONCATENATE("R6C",'Mapa final'!$O$41),"")</f>
        <v/>
      </c>
      <c r="AC51" s="22" t="str">
        <f>IF(AND('Mapa final'!$Y$42="Muy Baja",'Mapa final'!$AA$42="Mayor"),CONCATENATE("R6C",'Mapa final'!$O$42),"")</f>
        <v/>
      </c>
      <c r="AD51" s="22" t="str">
        <f>IF(AND('Mapa final'!$Y$43="Muy Baja",'Mapa final'!$AA$43="Mayor"),CONCATENATE("R6C",'Mapa final'!$O$43),"")</f>
        <v/>
      </c>
      <c r="AE51" s="22" t="e">
        <f>IF(AND('Mapa final'!#REF!="Muy Baja",'Mapa final'!#REF!="Mayor"),CONCATENATE("R6C",'Mapa final'!#REF!),"")</f>
        <v>#REF!</v>
      </c>
      <c r="AF51" s="22" t="e">
        <f>IF(AND('Mapa final'!#REF!="Muy Baja",'Mapa final'!#REF!="Mayor"),CONCATENATE("R6C",'Mapa final'!#REF!),"")</f>
        <v>#REF!</v>
      </c>
      <c r="AG51" s="23" t="e">
        <f>IF(AND('Mapa final'!#REF!="Muy Baja",'Mapa final'!#REF!="Mayor"),CONCATENATE("R6C",'Mapa final'!#REF!),"")</f>
        <v>#REF!</v>
      </c>
      <c r="AH51" s="24" t="str">
        <f>IF(AND('Mapa final'!$Y$41="Muy Baja",'Mapa final'!$AA$41="Catastrófico"),CONCATENATE("R6C",'Mapa final'!$O$41),"")</f>
        <v/>
      </c>
      <c r="AI51" s="25" t="str">
        <f>IF(AND('Mapa final'!$Y$42="Muy Baja",'Mapa final'!$AA$42="Catastrófico"),CONCATENATE("R6C",'Mapa final'!$O$42),"")</f>
        <v/>
      </c>
      <c r="AJ51" s="25" t="str">
        <f>IF(AND('Mapa final'!$Y$43="Muy Baja",'Mapa final'!$AA$43="Catastrófico"),CONCATENATE("R6C",'Mapa final'!$O$43),"")</f>
        <v/>
      </c>
      <c r="AK51" s="25" t="e">
        <f>IF(AND('Mapa final'!#REF!="Muy Baja",'Mapa final'!#REF!="Catastrófico"),CONCATENATE("R6C",'Mapa final'!#REF!),"")</f>
        <v>#REF!</v>
      </c>
      <c r="AL51" s="25" t="e">
        <f>IF(AND('Mapa final'!#REF!="Muy Baja",'Mapa final'!#REF!="Catastrófico"),CONCATENATE("R6C",'Mapa final'!#REF!),"")</f>
        <v>#REF!</v>
      </c>
      <c r="AM51" s="26" t="e">
        <f>IF(AND('Mapa final'!#REF!="Muy Baja",'Mapa final'!#REF!="Catastrófico"),CONCATENATE("R6C",'Mapa final'!#REF!),"")</f>
        <v>#REF!</v>
      </c>
    </row>
    <row r="52" spans="2:39" ht="15" customHeight="1" x14ac:dyDescent="0.25">
      <c r="B52" s="278"/>
      <c r="C52" s="201"/>
      <c r="D52" s="202"/>
      <c r="E52" s="213"/>
      <c r="F52" s="201"/>
      <c r="G52" s="201"/>
      <c r="H52" s="201"/>
      <c r="I52" s="202"/>
      <c r="J52" s="45" t="e">
        <f>IF(AND('Mapa final'!#REF!="Muy Baja",'Mapa final'!#REF!="Leve"),CONCATENATE("R7C",'Mapa final'!#REF!),"")</f>
        <v>#REF!</v>
      </c>
      <c r="K52" s="46" t="e">
        <f>IF(AND('Mapa final'!#REF!="Muy Baja",'Mapa final'!#REF!="Leve"),CONCATENATE("R7C",'Mapa final'!#REF!),"")</f>
        <v>#REF!</v>
      </c>
      <c r="L52" s="46" t="e">
        <f>IF(AND('Mapa final'!#REF!="Muy Baja",'Mapa final'!#REF!="Leve"),CONCATENATE("R7C",'Mapa final'!#REF!),"")</f>
        <v>#REF!</v>
      </c>
      <c r="M52" s="46" t="e">
        <f>IF(AND('Mapa final'!#REF!="Muy Baja",'Mapa final'!#REF!="Leve"),CONCATENATE("R7C",'Mapa final'!#REF!),"")</f>
        <v>#REF!</v>
      </c>
      <c r="N52" s="46" t="e">
        <f>IF(AND('Mapa final'!#REF!="Muy Baja",'Mapa final'!#REF!="Leve"),CONCATENATE("R7C",'Mapa final'!#REF!),"")</f>
        <v>#REF!</v>
      </c>
      <c r="O52" s="47" t="e">
        <f>IF(AND('Mapa final'!#REF!="Muy Baja",'Mapa final'!#REF!="Leve"),CONCATENATE("R7C",'Mapa final'!#REF!),"")</f>
        <v>#REF!</v>
      </c>
      <c r="P52" s="45" t="e">
        <f>IF(AND('Mapa final'!#REF!="Muy Baja",'Mapa final'!#REF!="Menor"),CONCATENATE("R7C",'Mapa final'!#REF!),"")</f>
        <v>#REF!</v>
      </c>
      <c r="Q52" s="46" t="e">
        <f>IF(AND('Mapa final'!#REF!="Muy Baja",'Mapa final'!#REF!="Menor"),CONCATENATE("R7C",'Mapa final'!#REF!),"")</f>
        <v>#REF!</v>
      </c>
      <c r="R52" s="46" t="e">
        <f>IF(AND('Mapa final'!#REF!="Muy Baja",'Mapa final'!#REF!="Menor"),CONCATENATE("R7C",'Mapa final'!#REF!),"")</f>
        <v>#REF!</v>
      </c>
      <c r="S52" s="46" t="e">
        <f>IF(AND('Mapa final'!#REF!="Muy Baja",'Mapa final'!#REF!="Menor"),CONCATENATE("R7C",'Mapa final'!#REF!),"")</f>
        <v>#REF!</v>
      </c>
      <c r="T52" s="46" t="e">
        <f>IF(AND('Mapa final'!#REF!="Muy Baja",'Mapa final'!#REF!="Menor"),CONCATENATE("R7C",'Mapa final'!#REF!),"")</f>
        <v>#REF!</v>
      </c>
      <c r="U52" s="47" t="e">
        <f>IF(AND('Mapa final'!#REF!="Muy Baja",'Mapa final'!#REF!="Menor"),CONCATENATE("R7C",'Mapa final'!#REF!),"")</f>
        <v>#REF!</v>
      </c>
      <c r="V52" s="36" t="e">
        <f>IF(AND('Mapa final'!#REF!="Muy Baja",'Mapa final'!#REF!="Moderado"),CONCATENATE("R7C",'Mapa final'!#REF!),"")</f>
        <v>#REF!</v>
      </c>
      <c r="W52" s="37" t="e">
        <f>IF(AND('Mapa final'!#REF!="Muy Baja",'Mapa final'!#REF!="Moderado"),CONCATENATE("R7C",'Mapa final'!#REF!),"")</f>
        <v>#REF!</v>
      </c>
      <c r="X52" s="37" t="e">
        <f>IF(AND('Mapa final'!#REF!="Muy Baja",'Mapa final'!#REF!="Moderado"),CONCATENATE("R7C",'Mapa final'!#REF!),"")</f>
        <v>#REF!</v>
      </c>
      <c r="Y52" s="37" t="e">
        <f>IF(AND('Mapa final'!#REF!="Muy Baja",'Mapa final'!#REF!="Moderado"),CONCATENATE("R7C",'Mapa final'!#REF!),"")</f>
        <v>#REF!</v>
      </c>
      <c r="Z52" s="37" t="e">
        <f>IF(AND('Mapa final'!#REF!="Muy Baja",'Mapa final'!#REF!="Moderado"),CONCATENATE("R7C",'Mapa final'!#REF!),"")</f>
        <v>#REF!</v>
      </c>
      <c r="AA52" s="38" t="e">
        <f>IF(AND('Mapa final'!#REF!="Muy Baja",'Mapa final'!#REF!="Moderado"),CONCATENATE("R7C",'Mapa final'!#REF!),"")</f>
        <v>#REF!</v>
      </c>
      <c r="AB52" s="21" t="e">
        <f>IF(AND('Mapa final'!#REF!="Muy Baja",'Mapa final'!#REF!="Mayor"),CONCATENATE("R7C",'Mapa final'!#REF!),"")</f>
        <v>#REF!</v>
      </c>
      <c r="AC52" s="22" t="e">
        <f>IF(AND('Mapa final'!#REF!="Muy Baja",'Mapa final'!#REF!="Mayor"),CONCATENATE("R7C",'Mapa final'!#REF!),"")</f>
        <v>#REF!</v>
      </c>
      <c r="AD52" s="22" t="e">
        <f>IF(AND('Mapa final'!#REF!="Muy Baja",'Mapa final'!#REF!="Mayor"),CONCATENATE("R7C",'Mapa final'!#REF!),"")</f>
        <v>#REF!</v>
      </c>
      <c r="AE52" s="22" t="e">
        <f>IF(AND('Mapa final'!#REF!="Muy Baja",'Mapa final'!#REF!="Mayor"),CONCATENATE("R7C",'Mapa final'!#REF!),"")</f>
        <v>#REF!</v>
      </c>
      <c r="AF52" s="22" t="e">
        <f>IF(AND('Mapa final'!#REF!="Muy Baja",'Mapa final'!#REF!="Mayor"),CONCATENATE("R7C",'Mapa final'!#REF!),"")</f>
        <v>#REF!</v>
      </c>
      <c r="AG52" s="23" t="e">
        <f>IF(AND('Mapa final'!#REF!="Muy Baja",'Mapa final'!#REF!="Mayor"),CONCATENATE("R7C",'Mapa final'!#REF!),"")</f>
        <v>#REF!</v>
      </c>
      <c r="AH52" s="24" t="e">
        <f>IF(AND('Mapa final'!#REF!="Muy Baja",'Mapa final'!#REF!="Catastrófico"),CONCATENATE("R7C",'Mapa final'!#REF!),"")</f>
        <v>#REF!</v>
      </c>
      <c r="AI52" s="25" t="e">
        <f>IF(AND('Mapa final'!#REF!="Muy Baja",'Mapa final'!#REF!="Catastrófico"),CONCATENATE("R7C",'Mapa final'!#REF!),"")</f>
        <v>#REF!</v>
      </c>
      <c r="AJ52" s="25" t="e">
        <f>IF(AND('Mapa final'!#REF!="Muy Baja",'Mapa final'!#REF!="Catastrófico"),CONCATENATE("R7C",'Mapa final'!#REF!),"")</f>
        <v>#REF!</v>
      </c>
      <c r="AK52" s="25" t="e">
        <f>IF(AND('Mapa final'!#REF!="Muy Baja",'Mapa final'!#REF!="Catastrófico"),CONCATENATE("R7C",'Mapa final'!#REF!),"")</f>
        <v>#REF!</v>
      </c>
      <c r="AL52" s="25" t="e">
        <f>IF(AND('Mapa final'!#REF!="Muy Baja",'Mapa final'!#REF!="Catastrófico"),CONCATENATE("R7C",'Mapa final'!#REF!),"")</f>
        <v>#REF!</v>
      </c>
      <c r="AM52" s="26" t="e">
        <f>IF(AND('Mapa final'!#REF!="Muy Baja",'Mapa final'!#REF!="Catastrófico"),CONCATENATE("R7C",'Mapa final'!#REF!),"")</f>
        <v>#REF!</v>
      </c>
    </row>
    <row r="53" spans="2:39" ht="15" customHeight="1" x14ac:dyDescent="0.25">
      <c r="B53" s="278"/>
      <c r="C53" s="201"/>
      <c r="D53" s="202"/>
      <c r="E53" s="213"/>
      <c r="F53" s="201"/>
      <c r="G53" s="201"/>
      <c r="H53" s="201"/>
      <c r="I53" s="202"/>
      <c r="J53" s="45" t="e">
        <f>IF(AND('Mapa final'!#REF!="Muy Baja",'Mapa final'!#REF!="Leve"),CONCATENATE("R8C",'Mapa final'!#REF!),"")</f>
        <v>#REF!</v>
      </c>
      <c r="K53" s="46" t="e">
        <f>IF(AND('Mapa final'!#REF!="Muy Baja",'Mapa final'!#REF!="Leve"),CONCATENATE("R8C",'Mapa final'!#REF!),"")</f>
        <v>#REF!</v>
      </c>
      <c r="L53" s="46" t="e">
        <f>IF(AND('Mapa final'!#REF!="Muy Baja",'Mapa final'!#REF!="Leve"),CONCATENATE("R8C",'Mapa final'!#REF!),"")</f>
        <v>#REF!</v>
      </c>
      <c r="M53" s="46" t="e">
        <f>IF(AND('Mapa final'!#REF!="Muy Baja",'Mapa final'!#REF!="Leve"),CONCATENATE("R8C",'Mapa final'!#REF!),"")</f>
        <v>#REF!</v>
      </c>
      <c r="N53" s="46" t="e">
        <f>IF(AND('Mapa final'!#REF!="Muy Baja",'Mapa final'!#REF!="Leve"),CONCATENATE("R8C",'Mapa final'!#REF!),"")</f>
        <v>#REF!</v>
      </c>
      <c r="O53" s="47" t="e">
        <f>IF(AND('Mapa final'!#REF!="Muy Baja",'Mapa final'!#REF!="Leve"),CONCATENATE("R8C",'Mapa final'!#REF!),"")</f>
        <v>#REF!</v>
      </c>
      <c r="P53" s="45" t="e">
        <f>IF(AND('Mapa final'!#REF!="Muy Baja",'Mapa final'!#REF!="Menor"),CONCATENATE("R8C",'Mapa final'!#REF!),"")</f>
        <v>#REF!</v>
      </c>
      <c r="Q53" s="46" t="e">
        <f>IF(AND('Mapa final'!#REF!="Muy Baja",'Mapa final'!#REF!="Menor"),CONCATENATE("R8C",'Mapa final'!#REF!),"")</f>
        <v>#REF!</v>
      </c>
      <c r="R53" s="46" t="e">
        <f>IF(AND('Mapa final'!#REF!="Muy Baja",'Mapa final'!#REF!="Menor"),CONCATENATE("R8C",'Mapa final'!#REF!),"")</f>
        <v>#REF!</v>
      </c>
      <c r="S53" s="46" t="e">
        <f>IF(AND('Mapa final'!#REF!="Muy Baja",'Mapa final'!#REF!="Menor"),CONCATENATE("R8C",'Mapa final'!#REF!),"")</f>
        <v>#REF!</v>
      </c>
      <c r="T53" s="46" t="e">
        <f>IF(AND('Mapa final'!#REF!="Muy Baja",'Mapa final'!#REF!="Menor"),CONCATENATE("R8C",'Mapa final'!#REF!),"")</f>
        <v>#REF!</v>
      </c>
      <c r="U53" s="47" t="e">
        <f>IF(AND('Mapa final'!#REF!="Muy Baja",'Mapa final'!#REF!="Menor"),CONCATENATE("R8C",'Mapa final'!#REF!),"")</f>
        <v>#REF!</v>
      </c>
      <c r="V53" s="36" t="e">
        <f>IF(AND('Mapa final'!#REF!="Muy Baja",'Mapa final'!#REF!="Moderado"),CONCATENATE("R8C",'Mapa final'!#REF!),"")</f>
        <v>#REF!</v>
      </c>
      <c r="W53" s="37" t="e">
        <f>IF(AND('Mapa final'!#REF!="Muy Baja",'Mapa final'!#REF!="Moderado"),CONCATENATE("R8C",'Mapa final'!#REF!),"")</f>
        <v>#REF!</v>
      </c>
      <c r="X53" s="37" t="e">
        <f>IF(AND('Mapa final'!#REF!="Muy Baja",'Mapa final'!#REF!="Moderado"),CONCATENATE("R8C",'Mapa final'!#REF!),"")</f>
        <v>#REF!</v>
      </c>
      <c r="Y53" s="37" t="e">
        <f>IF(AND('Mapa final'!#REF!="Muy Baja",'Mapa final'!#REF!="Moderado"),CONCATENATE("R8C",'Mapa final'!#REF!),"")</f>
        <v>#REF!</v>
      </c>
      <c r="Z53" s="37" t="e">
        <f>IF(AND('Mapa final'!#REF!="Muy Baja",'Mapa final'!#REF!="Moderado"),CONCATENATE("R8C",'Mapa final'!#REF!),"")</f>
        <v>#REF!</v>
      </c>
      <c r="AA53" s="38" t="e">
        <f>IF(AND('Mapa final'!#REF!="Muy Baja",'Mapa final'!#REF!="Moderado"),CONCATENATE("R8C",'Mapa final'!#REF!),"")</f>
        <v>#REF!</v>
      </c>
      <c r="AB53" s="21" t="e">
        <f>IF(AND('Mapa final'!#REF!="Muy Baja",'Mapa final'!#REF!="Mayor"),CONCATENATE("R8C",'Mapa final'!#REF!),"")</f>
        <v>#REF!</v>
      </c>
      <c r="AC53" s="22" t="e">
        <f>IF(AND('Mapa final'!#REF!="Muy Baja",'Mapa final'!#REF!="Mayor"),CONCATENATE("R8C",'Mapa final'!#REF!),"")</f>
        <v>#REF!</v>
      </c>
      <c r="AD53" s="22" t="e">
        <f>IF(AND('Mapa final'!#REF!="Muy Baja",'Mapa final'!#REF!="Mayor"),CONCATENATE("R8C",'Mapa final'!#REF!),"")</f>
        <v>#REF!</v>
      </c>
      <c r="AE53" s="22" t="e">
        <f>IF(AND('Mapa final'!#REF!="Muy Baja",'Mapa final'!#REF!="Mayor"),CONCATENATE("R8C",'Mapa final'!#REF!),"")</f>
        <v>#REF!</v>
      </c>
      <c r="AF53" s="22" t="e">
        <f>IF(AND('Mapa final'!#REF!="Muy Baja",'Mapa final'!#REF!="Mayor"),CONCATENATE("R8C",'Mapa final'!#REF!),"")</f>
        <v>#REF!</v>
      </c>
      <c r="AG53" s="23" t="e">
        <f>IF(AND('Mapa final'!#REF!="Muy Baja",'Mapa final'!#REF!="Mayor"),CONCATENATE("R8C",'Mapa final'!#REF!),"")</f>
        <v>#REF!</v>
      </c>
      <c r="AH53" s="24" t="e">
        <f>IF(AND('Mapa final'!#REF!="Muy Baja",'Mapa final'!#REF!="Catastrófico"),CONCATENATE("R8C",'Mapa final'!#REF!),"")</f>
        <v>#REF!</v>
      </c>
      <c r="AI53" s="25" t="e">
        <f>IF(AND('Mapa final'!#REF!="Muy Baja",'Mapa final'!#REF!="Catastrófico"),CONCATENATE("R8C",'Mapa final'!#REF!),"")</f>
        <v>#REF!</v>
      </c>
      <c r="AJ53" s="25" t="e">
        <f>IF(AND('Mapa final'!#REF!="Muy Baja",'Mapa final'!#REF!="Catastrófico"),CONCATENATE("R8C",'Mapa final'!#REF!),"")</f>
        <v>#REF!</v>
      </c>
      <c r="AK53" s="25" t="e">
        <f>IF(AND('Mapa final'!#REF!="Muy Baja",'Mapa final'!#REF!="Catastrófico"),CONCATENATE("R8C",'Mapa final'!#REF!),"")</f>
        <v>#REF!</v>
      </c>
      <c r="AL53" s="25" t="e">
        <f>IF(AND('Mapa final'!#REF!="Muy Baja",'Mapa final'!#REF!="Catastrófico"),CONCATENATE("R8C",'Mapa final'!#REF!),"")</f>
        <v>#REF!</v>
      </c>
      <c r="AM53" s="26" t="e">
        <f>IF(AND('Mapa final'!#REF!="Muy Baja",'Mapa final'!#REF!="Catastrófico"),CONCATENATE("R8C",'Mapa final'!#REF!),"")</f>
        <v>#REF!</v>
      </c>
    </row>
    <row r="54" spans="2:39" ht="15" customHeight="1" x14ac:dyDescent="0.25">
      <c r="B54" s="278"/>
      <c r="C54" s="201"/>
      <c r="D54" s="202"/>
      <c r="E54" s="213"/>
      <c r="F54" s="201"/>
      <c r="G54" s="201"/>
      <c r="H54" s="201"/>
      <c r="I54" s="202"/>
      <c r="J54" s="45" t="e">
        <f>IF(AND('Mapa final'!#REF!="Muy Baja",'Mapa final'!#REF!="Leve"),CONCATENATE("R9C",'Mapa final'!#REF!),"")</f>
        <v>#REF!</v>
      </c>
      <c r="K54" s="46" t="e">
        <f>IF(AND('Mapa final'!#REF!="Muy Baja",'Mapa final'!#REF!="Leve"),CONCATENATE("R9C",'Mapa final'!#REF!),"")</f>
        <v>#REF!</v>
      </c>
      <c r="L54" s="46" t="e">
        <f>IF(AND('Mapa final'!#REF!="Muy Baja",'Mapa final'!#REF!="Leve"),CONCATENATE("R9C",'Mapa final'!#REF!),"")</f>
        <v>#REF!</v>
      </c>
      <c r="M54" s="46" t="e">
        <f>IF(AND('Mapa final'!#REF!="Muy Baja",'Mapa final'!#REF!="Leve"),CONCATENATE("R9C",'Mapa final'!#REF!),"")</f>
        <v>#REF!</v>
      </c>
      <c r="N54" s="46" t="e">
        <f>IF(AND('Mapa final'!#REF!="Muy Baja",'Mapa final'!#REF!="Leve"),CONCATENATE("R9C",'Mapa final'!#REF!),"")</f>
        <v>#REF!</v>
      </c>
      <c r="O54" s="47" t="e">
        <f>IF(AND('Mapa final'!#REF!="Muy Baja",'Mapa final'!#REF!="Leve"),CONCATENATE("R9C",'Mapa final'!#REF!),"")</f>
        <v>#REF!</v>
      </c>
      <c r="P54" s="45" t="e">
        <f>IF(AND('Mapa final'!#REF!="Muy Baja",'Mapa final'!#REF!="Menor"),CONCATENATE("R9C",'Mapa final'!#REF!),"")</f>
        <v>#REF!</v>
      </c>
      <c r="Q54" s="46" t="e">
        <f>IF(AND('Mapa final'!#REF!="Muy Baja",'Mapa final'!#REF!="Menor"),CONCATENATE("R9C",'Mapa final'!#REF!),"")</f>
        <v>#REF!</v>
      </c>
      <c r="R54" s="46" t="e">
        <f>IF(AND('Mapa final'!#REF!="Muy Baja",'Mapa final'!#REF!="Menor"),CONCATENATE("R9C",'Mapa final'!#REF!),"")</f>
        <v>#REF!</v>
      </c>
      <c r="S54" s="46" t="e">
        <f>IF(AND('Mapa final'!#REF!="Muy Baja",'Mapa final'!#REF!="Menor"),CONCATENATE("R9C",'Mapa final'!#REF!),"")</f>
        <v>#REF!</v>
      </c>
      <c r="T54" s="46" t="e">
        <f>IF(AND('Mapa final'!#REF!="Muy Baja",'Mapa final'!#REF!="Menor"),CONCATENATE("R9C",'Mapa final'!#REF!),"")</f>
        <v>#REF!</v>
      </c>
      <c r="U54" s="47" t="e">
        <f>IF(AND('Mapa final'!#REF!="Muy Baja",'Mapa final'!#REF!="Menor"),CONCATENATE("R9C",'Mapa final'!#REF!),"")</f>
        <v>#REF!</v>
      </c>
      <c r="V54" s="36" t="e">
        <f>IF(AND('Mapa final'!#REF!="Muy Baja",'Mapa final'!#REF!="Moderado"),CONCATENATE("R9C",'Mapa final'!#REF!),"")</f>
        <v>#REF!</v>
      </c>
      <c r="W54" s="37" t="e">
        <f>IF(AND('Mapa final'!#REF!="Muy Baja",'Mapa final'!#REF!="Moderado"),CONCATENATE("R9C",'Mapa final'!#REF!),"")</f>
        <v>#REF!</v>
      </c>
      <c r="X54" s="37" t="e">
        <f>IF(AND('Mapa final'!#REF!="Muy Baja",'Mapa final'!#REF!="Moderado"),CONCATENATE("R9C",'Mapa final'!#REF!),"")</f>
        <v>#REF!</v>
      </c>
      <c r="Y54" s="37" t="e">
        <f>IF(AND('Mapa final'!#REF!="Muy Baja",'Mapa final'!#REF!="Moderado"),CONCATENATE("R9C",'Mapa final'!#REF!),"")</f>
        <v>#REF!</v>
      </c>
      <c r="Z54" s="37" t="e">
        <f>IF(AND('Mapa final'!#REF!="Muy Baja",'Mapa final'!#REF!="Moderado"),CONCATENATE("R9C",'Mapa final'!#REF!),"")</f>
        <v>#REF!</v>
      </c>
      <c r="AA54" s="38" t="e">
        <f>IF(AND('Mapa final'!#REF!="Muy Baja",'Mapa final'!#REF!="Moderado"),CONCATENATE("R9C",'Mapa final'!#REF!),"")</f>
        <v>#REF!</v>
      </c>
      <c r="AB54" s="21" t="e">
        <f>IF(AND('Mapa final'!#REF!="Muy Baja",'Mapa final'!#REF!="Mayor"),CONCATENATE("R9C",'Mapa final'!#REF!),"")</f>
        <v>#REF!</v>
      </c>
      <c r="AC54" s="22" t="e">
        <f>IF(AND('Mapa final'!#REF!="Muy Baja",'Mapa final'!#REF!="Mayor"),CONCATENATE("R9C",'Mapa final'!#REF!),"")</f>
        <v>#REF!</v>
      </c>
      <c r="AD54" s="22" t="e">
        <f>IF(AND('Mapa final'!#REF!="Muy Baja",'Mapa final'!#REF!="Mayor"),CONCATENATE("R9C",'Mapa final'!#REF!),"")</f>
        <v>#REF!</v>
      </c>
      <c r="AE54" s="22" t="e">
        <f>IF(AND('Mapa final'!#REF!="Muy Baja",'Mapa final'!#REF!="Mayor"),CONCATENATE("R9C",'Mapa final'!#REF!),"")</f>
        <v>#REF!</v>
      </c>
      <c r="AF54" s="22" t="e">
        <f>IF(AND('Mapa final'!#REF!="Muy Baja",'Mapa final'!#REF!="Mayor"),CONCATENATE("R9C",'Mapa final'!#REF!),"")</f>
        <v>#REF!</v>
      </c>
      <c r="AG54" s="23" t="e">
        <f>IF(AND('Mapa final'!#REF!="Muy Baja",'Mapa final'!#REF!="Mayor"),CONCATENATE("R9C",'Mapa final'!#REF!),"")</f>
        <v>#REF!</v>
      </c>
      <c r="AH54" s="24" t="e">
        <f>IF(AND('Mapa final'!#REF!="Muy Baja",'Mapa final'!#REF!="Catastrófico"),CONCATENATE("R9C",'Mapa final'!#REF!),"")</f>
        <v>#REF!</v>
      </c>
      <c r="AI54" s="25" t="e">
        <f>IF(AND('Mapa final'!#REF!="Muy Baja",'Mapa final'!#REF!="Catastrófico"),CONCATENATE("R9C",'Mapa final'!#REF!),"")</f>
        <v>#REF!</v>
      </c>
      <c r="AJ54" s="25" t="e">
        <f>IF(AND('Mapa final'!#REF!="Muy Baja",'Mapa final'!#REF!="Catastrófico"),CONCATENATE("R9C",'Mapa final'!#REF!),"")</f>
        <v>#REF!</v>
      </c>
      <c r="AK54" s="25" t="e">
        <f>IF(AND('Mapa final'!#REF!="Muy Baja",'Mapa final'!#REF!="Catastrófico"),CONCATENATE("R9C",'Mapa final'!#REF!),"")</f>
        <v>#REF!</v>
      </c>
      <c r="AL54" s="25" t="e">
        <f>IF(AND('Mapa final'!#REF!="Muy Baja",'Mapa final'!#REF!="Catastrófico"),CONCATENATE("R9C",'Mapa final'!#REF!),"")</f>
        <v>#REF!</v>
      </c>
      <c r="AM54" s="26" t="e">
        <f>IF(AND('Mapa final'!#REF!="Muy Baja",'Mapa final'!#REF!="Catastrófico"),CONCATENATE("R9C",'Mapa final'!#REF!),"")</f>
        <v>#REF!</v>
      </c>
    </row>
    <row r="55" spans="2:39" ht="15.75" customHeight="1" x14ac:dyDescent="0.25">
      <c r="B55" s="235"/>
      <c r="C55" s="280"/>
      <c r="D55" s="236"/>
      <c r="E55" s="247"/>
      <c r="F55" s="271"/>
      <c r="G55" s="271"/>
      <c r="H55" s="271"/>
      <c r="I55" s="250"/>
      <c r="J55" s="48" t="e">
        <f>IF(AND('Mapa final'!#REF!="Muy Baja",'Mapa final'!#REF!="Leve"),CONCATENATE("R10C",'Mapa final'!#REF!),"")</f>
        <v>#REF!</v>
      </c>
      <c r="K55" s="49" t="e">
        <f>IF(AND('Mapa final'!#REF!="Muy Baja",'Mapa final'!#REF!="Leve"),CONCATENATE("R10C",'Mapa final'!#REF!),"")</f>
        <v>#REF!</v>
      </c>
      <c r="L55" s="49" t="e">
        <f>IF(AND('Mapa final'!#REF!="Muy Baja",'Mapa final'!#REF!="Leve"),CONCATENATE("R10C",'Mapa final'!#REF!),"")</f>
        <v>#REF!</v>
      </c>
      <c r="M55" s="49" t="e">
        <f>IF(AND('Mapa final'!#REF!="Muy Baja",'Mapa final'!#REF!="Leve"),CONCATENATE("R10C",'Mapa final'!#REF!),"")</f>
        <v>#REF!</v>
      </c>
      <c r="N55" s="49" t="e">
        <f>IF(AND('Mapa final'!#REF!="Muy Baja",'Mapa final'!#REF!="Leve"),CONCATENATE("R10C",'Mapa final'!#REF!),"")</f>
        <v>#REF!</v>
      </c>
      <c r="O55" s="50" t="e">
        <f>IF(AND('Mapa final'!#REF!="Muy Baja",'Mapa final'!#REF!="Leve"),CONCATENATE("R10C",'Mapa final'!#REF!),"")</f>
        <v>#REF!</v>
      </c>
      <c r="P55" s="48" t="e">
        <f>IF(AND('Mapa final'!#REF!="Muy Baja",'Mapa final'!#REF!="Menor"),CONCATENATE("R10C",'Mapa final'!#REF!),"")</f>
        <v>#REF!</v>
      </c>
      <c r="Q55" s="49" t="e">
        <f>IF(AND('Mapa final'!#REF!="Muy Baja",'Mapa final'!#REF!="Menor"),CONCATENATE("R10C",'Mapa final'!#REF!),"")</f>
        <v>#REF!</v>
      </c>
      <c r="R55" s="49" t="e">
        <f>IF(AND('Mapa final'!#REF!="Muy Baja",'Mapa final'!#REF!="Menor"),CONCATENATE("R10C",'Mapa final'!#REF!),"")</f>
        <v>#REF!</v>
      </c>
      <c r="S55" s="49" t="e">
        <f>IF(AND('Mapa final'!#REF!="Muy Baja",'Mapa final'!#REF!="Menor"),CONCATENATE("R10C",'Mapa final'!#REF!),"")</f>
        <v>#REF!</v>
      </c>
      <c r="T55" s="49" t="e">
        <f>IF(AND('Mapa final'!#REF!="Muy Baja",'Mapa final'!#REF!="Menor"),CONCATENATE("R10C",'Mapa final'!#REF!),"")</f>
        <v>#REF!</v>
      </c>
      <c r="U55" s="50" t="e">
        <f>IF(AND('Mapa final'!#REF!="Muy Baja",'Mapa final'!#REF!="Menor"),CONCATENATE("R10C",'Mapa final'!#REF!),"")</f>
        <v>#REF!</v>
      </c>
      <c r="V55" s="39" t="e">
        <f>IF(AND('Mapa final'!#REF!="Muy Baja",'Mapa final'!#REF!="Moderado"),CONCATENATE("R10C",'Mapa final'!#REF!),"")</f>
        <v>#REF!</v>
      </c>
      <c r="W55" s="40" t="e">
        <f>IF(AND('Mapa final'!#REF!="Muy Baja",'Mapa final'!#REF!="Moderado"),CONCATENATE("R10C",'Mapa final'!#REF!),"")</f>
        <v>#REF!</v>
      </c>
      <c r="X55" s="40" t="e">
        <f>IF(AND('Mapa final'!#REF!="Muy Baja",'Mapa final'!#REF!="Moderado"),CONCATENATE("R10C",'Mapa final'!#REF!),"")</f>
        <v>#REF!</v>
      </c>
      <c r="Y55" s="40" t="e">
        <f>IF(AND('Mapa final'!#REF!="Muy Baja",'Mapa final'!#REF!="Moderado"),CONCATENATE("R10C",'Mapa final'!#REF!),"")</f>
        <v>#REF!</v>
      </c>
      <c r="Z55" s="40" t="e">
        <f>IF(AND('Mapa final'!#REF!="Muy Baja",'Mapa final'!#REF!="Moderado"),CONCATENATE("R10C",'Mapa final'!#REF!),"")</f>
        <v>#REF!</v>
      </c>
      <c r="AA55" s="41" t="e">
        <f>IF(AND('Mapa final'!#REF!="Muy Baja",'Mapa final'!#REF!="Moderado"),CONCATENATE("R10C",'Mapa final'!#REF!),"")</f>
        <v>#REF!</v>
      </c>
      <c r="AB55" s="27" t="e">
        <f>IF(AND('Mapa final'!#REF!="Muy Baja",'Mapa final'!#REF!="Mayor"),CONCATENATE("R10C",'Mapa final'!#REF!),"")</f>
        <v>#REF!</v>
      </c>
      <c r="AC55" s="28" t="e">
        <f>IF(AND('Mapa final'!#REF!="Muy Baja",'Mapa final'!#REF!="Mayor"),CONCATENATE("R10C",'Mapa final'!#REF!),"")</f>
        <v>#REF!</v>
      </c>
      <c r="AD55" s="28" t="e">
        <f>IF(AND('Mapa final'!#REF!="Muy Baja",'Mapa final'!#REF!="Mayor"),CONCATENATE("R10C",'Mapa final'!#REF!),"")</f>
        <v>#REF!</v>
      </c>
      <c r="AE55" s="28" t="e">
        <f>IF(AND('Mapa final'!#REF!="Muy Baja",'Mapa final'!#REF!="Mayor"),CONCATENATE("R10C",'Mapa final'!#REF!),"")</f>
        <v>#REF!</v>
      </c>
      <c r="AF55" s="28" t="e">
        <f>IF(AND('Mapa final'!#REF!="Muy Baja",'Mapa final'!#REF!="Mayor"),CONCATENATE("R10C",'Mapa final'!#REF!),"")</f>
        <v>#REF!</v>
      </c>
      <c r="AG55" s="29" t="e">
        <f>IF(AND('Mapa final'!#REF!="Muy Baja",'Mapa final'!#REF!="Mayor"),CONCATENATE("R10C",'Mapa final'!#REF!),"")</f>
        <v>#REF!</v>
      </c>
      <c r="AH55" s="30" t="e">
        <f>IF(AND('Mapa final'!#REF!="Muy Baja",'Mapa final'!#REF!="Catastrófico"),CONCATENATE("R10C",'Mapa final'!#REF!),"")</f>
        <v>#REF!</v>
      </c>
      <c r="AI55" s="31" t="e">
        <f>IF(AND('Mapa final'!#REF!="Muy Baja",'Mapa final'!#REF!="Catastrófico"),CONCATENATE("R10C",'Mapa final'!#REF!),"")</f>
        <v>#REF!</v>
      </c>
      <c r="AJ55" s="31" t="e">
        <f>IF(AND('Mapa final'!#REF!="Muy Baja",'Mapa final'!#REF!="Catastrófico"),CONCATENATE("R10C",'Mapa final'!#REF!),"")</f>
        <v>#REF!</v>
      </c>
      <c r="AK55" s="31" t="e">
        <f>IF(AND('Mapa final'!#REF!="Muy Baja",'Mapa final'!#REF!="Catastrófico"),CONCATENATE("R10C",'Mapa final'!#REF!),"")</f>
        <v>#REF!</v>
      </c>
      <c r="AL55" s="31" t="e">
        <f>IF(AND('Mapa final'!#REF!="Muy Baja",'Mapa final'!#REF!="Catastrófico"),CONCATENATE("R10C",'Mapa final'!#REF!),"")</f>
        <v>#REF!</v>
      </c>
      <c r="AM55" s="32" t="e">
        <f>IF(AND('Mapa final'!#REF!="Muy Baja",'Mapa final'!#REF!="Catastrófico"),CONCATENATE("R10C",'Mapa final'!#REF!),"")</f>
        <v>#REF!</v>
      </c>
    </row>
    <row r="56" spans="2:39" ht="15.75" customHeight="1" x14ac:dyDescent="0.25">
      <c r="B56" s="1"/>
      <c r="C56" s="1"/>
      <c r="D56" s="1"/>
      <c r="E56" s="1"/>
      <c r="F56" s="1"/>
      <c r="G56" s="1"/>
      <c r="H56" s="1"/>
      <c r="I56" s="1"/>
      <c r="J56" s="286" t="s">
        <v>104</v>
      </c>
      <c r="K56" s="270"/>
      <c r="L56" s="270"/>
      <c r="M56" s="270"/>
      <c r="N56" s="270"/>
      <c r="O56" s="252"/>
      <c r="P56" s="286" t="s">
        <v>105</v>
      </c>
      <c r="Q56" s="270"/>
      <c r="R56" s="270"/>
      <c r="S56" s="270"/>
      <c r="T56" s="270"/>
      <c r="U56" s="252"/>
      <c r="V56" s="286" t="s">
        <v>106</v>
      </c>
      <c r="W56" s="270"/>
      <c r="X56" s="270"/>
      <c r="Y56" s="270"/>
      <c r="Z56" s="270"/>
      <c r="AA56" s="252"/>
      <c r="AB56" s="286" t="s">
        <v>107</v>
      </c>
      <c r="AC56" s="270"/>
      <c r="AD56" s="270"/>
      <c r="AE56" s="270"/>
      <c r="AF56" s="270"/>
      <c r="AG56" s="252"/>
      <c r="AH56" s="286" t="s">
        <v>108</v>
      </c>
      <c r="AI56" s="270"/>
      <c r="AJ56" s="270"/>
      <c r="AK56" s="270"/>
      <c r="AL56" s="270"/>
      <c r="AM56" s="252"/>
    </row>
    <row r="57" spans="2:39" ht="15.75" customHeight="1" x14ac:dyDescent="0.25">
      <c r="B57" s="1"/>
      <c r="C57" s="1"/>
      <c r="D57" s="1"/>
      <c r="E57" s="1"/>
      <c r="F57" s="1"/>
      <c r="G57" s="1"/>
      <c r="H57" s="1"/>
      <c r="I57" s="1"/>
      <c r="J57" s="213"/>
      <c r="K57" s="201"/>
      <c r="L57" s="201"/>
      <c r="M57" s="201"/>
      <c r="N57" s="201"/>
      <c r="O57" s="202"/>
      <c r="P57" s="213"/>
      <c r="Q57" s="201"/>
      <c r="R57" s="201"/>
      <c r="S57" s="201"/>
      <c r="T57" s="201"/>
      <c r="U57" s="202"/>
      <c r="V57" s="213"/>
      <c r="W57" s="201"/>
      <c r="X57" s="201"/>
      <c r="Y57" s="201"/>
      <c r="Z57" s="201"/>
      <c r="AA57" s="202"/>
      <c r="AB57" s="213"/>
      <c r="AC57" s="201"/>
      <c r="AD57" s="201"/>
      <c r="AE57" s="201"/>
      <c r="AF57" s="201"/>
      <c r="AG57" s="202"/>
      <c r="AH57" s="213"/>
      <c r="AI57" s="201"/>
      <c r="AJ57" s="201"/>
      <c r="AK57" s="201"/>
      <c r="AL57" s="201"/>
      <c r="AM57" s="202"/>
    </row>
    <row r="58" spans="2:39" ht="15.75" customHeight="1" x14ac:dyDescent="0.25">
      <c r="B58" s="1"/>
      <c r="C58" s="1"/>
      <c r="D58" s="1"/>
      <c r="E58" s="1"/>
      <c r="F58" s="1"/>
      <c r="G58" s="1"/>
      <c r="H58" s="1"/>
      <c r="I58" s="1"/>
      <c r="J58" s="213"/>
      <c r="K58" s="201"/>
      <c r="L58" s="201"/>
      <c r="M58" s="201"/>
      <c r="N58" s="201"/>
      <c r="O58" s="202"/>
      <c r="P58" s="213"/>
      <c r="Q58" s="201"/>
      <c r="R58" s="201"/>
      <c r="S58" s="201"/>
      <c r="T58" s="201"/>
      <c r="U58" s="202"/>
      <c r="V58" s="213"/>
      <c r="W58" s="201"/>
      <c r="X58" s="201"/>
      <c r="Y58" s="201"/>
      <c r="Z58" s="201"/>
      <c r="AA58" s="202"/>
      <c r="AB58" s="213"/>
      <c r="AC58" s="201"/>
      <c r="AD58" s="201"/>
      <c r="AE58" s="201"/>
      <c r="AF58" s="201"/>
      <c r="AG58" s="202"/>
      <c r="AH58" s="213"/>
      <c r="AI58" s="201"/>
      <c r="AJ58" s="201"/>
      <c r="AK58" s="201"/>
      <c r="AL58" s="201"/>
      <c r="AM58" s="202"/>
    </row>
    <row r="59" spans="2:39" ht="15.75" customHeight="1" x14ac:dyDescent="0.25">
      <c r="B59" s="1"/>
      <c r="C59" s="1"/>
      <c r="D59" s="1"/>
      <c r="E59" s="1"/>
      <c r="F59" s="1"/>
      <c r="G59" s="1"/>
      <c r="H59" s="1"/>
      <c r="I59" s="1"/>
      <c r="J59" s="213"/>
      <c r="K59" s="201"/>
      <c r="L59" s="201"/>
      <c r="M59" s="201"/>
      <c r="N59" s="201"/>
      <c r="O59" s="202"/>
      <c r="P59" s="213"/>
      <c r="Q59" s="201"/>
      <c r="R59" s="201"/>
      <c r="S59" s="201"/>
      <c r="T59" s="201"/>
      <c r="U59" s="202"/>
      <c r="V59" s="213"/>
      <c r="W59" s="201"/>
      <c r="X59" s="201"/>
      <c r="Y59" s="201"/>
      <c r="Z59" s="201"/>
      <c r="AA59" s="202"/>
      <c r="AB59" s="213"/>
      <c r="AC59" s="201"/>
      <c r="AD59" s="201"/>
      <c r="AE59" s="201"/>
      <c r="AF59" s="201"/>
      <c r="AG59" s="202"/>
      <c r="AH59" s="213"/>
      <c r="AI59" s="201"/>
      <c r="AJ59" s="201"/>
      <c r="AK59" s="201"/>
      <c r="AL59" s="201"/>
      <c r="AM59" s="202"/>
    </row>
    <row r="60" spans="2:39" ht="15.75" customHeight="1" x14ac:dyDescent="0.25">
      <c r="B60" s="1"/>
      <c r="C60" s="1"/>
      <c r="D60" s="1"/>
      <c r="E60" s="1"/>
      <c r="F60" s="1"/>
      <c r="G60" s="1"/>
      <c r="H60" s="1"/>
      <c r="I60" s="1"/>
      <c r="J60" s="213"/>
      <c r="K60" s="201"/>
      <c r="L60" s="201"/>
      <c r="M60" s="201"/>
      <c r="N60" s="201"/>
      <c r="O60" s="202"/>
      <c r="P60" s="213"/>
      <c r="Q60" s="201"/>
      <c r="R60" s="201"/>
      <c r="S60" s="201"/>
      <c r="T60" s="201"/>
      <c r="U60" s="202"/>
      <c r="V60" s="213"/>
      <c r="W60" s="201"/>
      <c r="X60" s="201"/>
      <c r="Y60" s="201"/>
      <c r="Z60" s="201"/>
      <c r="AA60" s="202"/>
      <c r="AB60" s="213"/>
      <c r="AC60" s="201"/>
      <c r="AD60" s="201"/>
      <c r="AE60" s="201"/>
      <c r="AF60" s="201"/>
      <c r="AG60" s="202"/>
      <c r="AH60" s="213"/>
      <c r="AI60" s="201"/>
      <c r="AJ60" s="201"/>
      <c r="AK60" s="201"/>
      <c r="AL60" s="201"/>
      <c r="AM60" s="202"/>
    </row>
    <row r="61" spans="2:39" ht="15.75" customHeight="1" x14ac:dyDescent="0.25">
      <c r="B61" s="1"/>
      <c r="C61" s="1"/>
      <c r="D61" s="1"/>
      <c r="E61" s="1"/>
      <c r="F61" s="1"/>
      <c r="G61" s="1"/>
      <c r="H61" s="1"/>
      <c r="I61" s="1"/>
      <c r="J61" s="247"/>
      <c r="K61" s="271"/>
      <c r="L61" s="271"/>
      <c r="M61" s="271"/>
      <c r="N61" s="271"/>
      <c r="O61" s="250"/>
      <c r="P61" s="247"/>
      <c r="Q61" s="271"/>
      <c r="R61" s="271"/>
      <c r="S61" s="271"/>
      <c r="T61" s="271"/>
      <c r="U61" s="250"/>
      <c r="V61" s="247"/>
      <c r="W61" s="271"/>
      <c r="X61" s="271"/>
      <c r="Y61" s="271"/>
      <c r="Z61" s="271"/>
      <c r="AA61" s="250"/>
      <c r="AB61" s="247"/>
      <c r="AC61" s="271"/>
      <c r="AD61" s="271"/>
      <c r="AE61" s="271"/>
      <c r="AF61" s="271"/>
      <c r="AG61" s="250"/>
      <c r="AH61" s="247"/>
      <c r="AI61" s="271"/>
      <c r="AJ61" s="271"/>
      <c r="AK61" s="271"/>
      <c r="AL61" s="271"/>
      <c r="AM61" s="250"/>
    </row>
  </sheetData>
  <mergeCells count="17">
    <mergeCell ref="B2:I4"/>
    <mergeCell ref="J2:AM4"/>
    <mergeCell ref="B6:D55"/>
    <mergeCell ref="E6:I15"/>
    <mergeCell ref="E16:I25"/>
    <mergeCell ref="E26:I35"/>
    <mergeCell ref="E36:I45"/>
    <mergeCell ref="J56:O61"/>
    <mergeCell ref="P56:U61"/>
    <mergeCell ref="V56:AA61"/>
    <mergeCell ref="AB56:AG61"/>
    <mergeCell ref="AH56:AM61"/>
    <mergeCell ref="AO16:AT25"/>
    <mergeCell ref="AO26:AT35"/>
    <mergeCell ref="AO6:AT15"/>
    <mergeCell ref="AO36:AT45"/>
    <mergeCell ref="E46:I55"/>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B1:D8"/>
  <sheetViews>
    <sheetView topLeftCell="A3" workbookViewId="0">
      <selection activeCell="C7" sqref="C7"/>
    </sheetView>
  </sheetViews>
  <sheetFormatPr baseColWidth="10" defaultColWidth="12.625" defaultRowHeight="15" customHeight="1" x14ac:dyDescent="0.2"/>
  <cols>
    <col min="1" max="1" width="9.375" customWidth="1"/>
    <col min="2" max="2" width="21.125" customWidth="1"/>
    <col min="3" max="3" width="61.375" customWidth="1"/>
    <col min="4" max="4" width="26.125" customWidth="1"/>
    <col min="5" max="26" width="9.375" customWidth="1"/>
  </cols>
  <sheetData>
    <row r="1" spans="2:4" ht="23.25" x14ac:dyDescent="0.2">
      <c r="B1" s="288" t="s">
        <v>110</v>
      </c>
      <c r="C1" s="201"/>
      <c r="D1" s="201"/>
    </row>
    <row r="2" spans="2:4" x14ac:dyDescent="0.25">
      <c r="B2" s="1"/>
      <c r="C2" s="1"/>
      <c r="D2" s="1"/>
    </row>
    <row r="3" spans="2:4" ht="25.5" x14ac:dyDescent="0.2">
      <c r="B3" s="52"/>
      <c r="C3" s="53" t="s">
        <v>111</v>
      </c>
      <c r="D3" s="53" t="s">
        <v>94</v>
      </c>
    </row>
    <row r="4" spans="2:4" ht="51" x14ac:dyDescent="0.2">
      <c r="B4" s="54" t="s">
        <v>112</v>
      </c>
      <c r="C4" s="55" t="s">
        <v>113</v>
      </c>
      <c r="D4" s="56">
        <v>0.2</v>
      </c>
    </row>
    <row r="5" spans="2:4" ht="51" x14ac:dyDescent="0.2">
      <c r="B5" s="57" t="s">
        <v>114</v>
      </c>
      <c r="C5" s="58" t="s">
        <v>115</v>
      </c>
      <c r="D5" s="59">
        <v>0.4</v>
      </c>
    </row>
    <row r="6" spans="2:4" ht="51" x14ac:dyDescent="0.2">
      <c r="B6" s="60" t="s">
        <v>116</v>
      </c>
      <c r="C6" s="58" t="s">
        <v>117</v>
      </c>
      <c r="D6" s="59">
        <v>0.6</v>
      </c>
    </row>
    <row r="7" spans="2:4" ht="76.5" x14ac:dyDescent="0.2">
      <c r="B7" s="61" t="s">
        <v>118</v>
      </c>
      <c r="C7" s="58" t="s">
        <v>119</v>
      </c>
      <c r="D7" s="59">
        <v>0.8</v>
      </c>
    </row>
    <row r="8" spans="2:4" ht="51" x14ac:dyDescent="0.2">
      <c r="B8" s="62" t="s">
        <v>120</v>
      </c>
      <c r="C8" s="58" t="s">
        <v>121</v>
      </c>
      <c r="D8" s="59">
        <v>1</v>
      </c>
    </row>
  </sheetData>
  <mergeCells count="1">
    <mergeCell ref="B1:D1"/>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6923C"/>
  </sheetPr>
  <dimension ref="A1:H224"/>
  <sheetViews>
    <sheetView topLeftCell="B2" zoomScale="70" zoomScaleNormal="70" workbookViewId="0">
      <selection activeCell="C7" sqref="C7"/>
    </sheetView>
  </sheetViews>
  <sheetFormatPr baseColWidth="10" defaultColWidth="12.625" defaultRowHeight="15" customHeight="1" x14ac:dyDescent="0.2"/>
  <cols>
    <col min="1" max="1" width="9.375" customWidth="1"/>
    <col min="2" max="2" width="35.375" customWidth="1"/>
    <col min="3" max="3" width="65.5" customWidth="1"/>
    <col min="4" max="4" width="118.125" customWidth="1"/>
    <col min="5" max="5" width="126.625" customWidth="1"/>
    <col min="6" max="26" width="9.375" customWidth="1"/>
  </cols>
  <sheetData>
    <row r="1" spans="1:4" ht="33.75" x14ac:dyDescent="0.25">
      <c r="A1" s="1"/>
      <c r="B1" s="289" t="s">
        <v>122</v>
      </c>
      <c r="C1" s="201"/>
      <c r="D1" s="201"/>
    </row>
    <row r="2" spans="1:4" x14ac:dyDescent="0.25">
      <c r="A2" s="1"/>
      <c r="B2" s="1"/>
      <c r="C2" s="1"/>
      <c r="D2" s="1"/>
    </row>
    <row r="3" spans="1:4" ht="30" x14ac:dyDescent="0.25">
      <c r="A3" s="1"/>
      <c r="B3" s="63"/>
      <c r="C3" s="64" t="s">
        <v>123</v>
      </c>
      <c r="D3" s="64" t="s">
        <v>124</v>
      </c>
    </row>
    <row r="4" spans="1:4" ht="33.75" x14ac:dyDescent="0.25">
      <c r="A4" s="65" t="s">
        <v>125</v>
      </c>
      <c r="B4" s="66" t="s">
        <v>126</v>
      </c>
      <c r="C4" s="67" t="s">
        <v>127</v>
      </c>
      <c r="D4" s="68" t="s">
        <v>128</v>
      </c>
    </row>
    <row r="5" spans="1:4" ht="67.5" x14ac:dyDescent="0.25">
      <c r="A5" s="65" t="s">
        <v>129</v>
      </c>
      <c r="B5" s="69" t="s">
        <v>130</v>
      </c>
      <c r="C5" s="70" t="s">
        <v>131</v>
      </c>
      <c r="D5" s="71" t="s">
        <v>132</v>
      </c>
    </row>
    <row r="6" spans="1:4" ht="67.5" x14ac:dyDescent="0.25">
      <c r="A6" s="65" t="s">
        <v>100</v>
      </c>
      <c r="B6" s="72" t="s">
        <v>133</v>
      </c>
      <c r="C6" s="98" t="s">
        <v>134</v>
      </c>
      <c r="D6" s="99" t="s">
        <v>215</v>
      </c>
    </row>
    <row r="7" spans="1:4" ht="101.25" x14ac:dyDescent="0.25">
      <c r="A7" s="65" t="s">
        <v>136</v>
      </c>
      <c r="B7" s="73" t="s">
        <v>137</v>
      </c>
      <c r="C7" s="70" t="s">
        <v>138</v>
      </c>
      <c r="D7" s="71" t="s">
        <v>214</v>
      </c>
    </row>
    <row r="8" spans="1:4" ht="67.5" x14ac:dyDescent="0.25">
      <c r="A8" s="65" t="s">
        <v>140</v>
      </c>
      <c r="B8" s="74" t="s">
        <v>141</v>
      </c>
      <c r="C8" s="70" t="s">
        <v>142</v>
      </c>
      <c r="D8" s="71" t="s">
        <v>143</v>
      </c>
    </row>
    <row r="9" spans="1:4" ht="20.25" x14ac:dyDescent="0.25">
      <c r="A9" s="65"/>
      <c r="B9" s="65"/>
      <c r="C9" s="75"/>
      <c r="D9" s="75"/>
    </row>
    <row r="10" spans="1:4" ht="16.5" x14ac:dyDescent="0.25">
      <c r="A10" s="65"/>
      <c r="B10" s="76"/>
      <c r="C10" s="76"/>
      <c r="D10" s="76"/>
    </row>
    <row r="11" spans="1:4" x14ac:dyDescent="0.25">
      <c r="A11" s="65"/>
      <c r="B11" s="65" t="s">
        <v>144</v>
      </c>
      <c r="C11" s="65" t="s">
        <v>145</v>
      </c>
      <c r="D11" s="65" t="s">
        <v>146</v>
      </c>
    </row>
    <row r="12" spans="1:4" x14ac:dyDescent="0.25">
      <c r="A12" s="65"/>
      <c r="B12" s="65" t="s">
        <v>147</v>
      </c>
      <c r="C12" s="65" t="s">
        <v>148</v>
      </c>
      <c r="D12" s="65" t="s">
        <v>149</v>
      </c>
    </row>
    <row r="13" spans="1:4" x14ac:dyDescent="0.25">
      <c r="A13" s="65"/>
      <c r="B13" s="65"/>
      <c r="C13" s="65" t="s">
        <v>150</v>
      </c>
      <c r="D13" s="65" t="s">
        <v>151</v>
      </c>
    </row>
    <row r="14" spans="1:4" x14ac:dyDescent="0.25">
      <c r="A14" s="65"/>
      <c r="B14" s="65"/>
      <c r="C14" s="65" t="s">
        <v>152</v>
      </c>
      <c r="D14" s="65" t="s">
        <v>153</v>
      </c>
    </row>
    <row r="15" spans="1:4" x14ac:dyDescent="0.25">
      <c r="A15" s="65"/>
      <c r="B15" s="65"/>
      <c r="C15" s="65" t="s">
        <v>154</v>
      </c>
      <c r="D15" s="65" t="s">
        <v>155</v>
      </c>
    </row>
    <row r="209" spans="2:8" ht="15.75" customHeight="1" x14ac:dyDescent="0.25">
      <c r="B209" s="77" t="s">
        <v>156</v>
      </c>
      <c r="C209" s="77" t="s">
        <v>157</v>
      </c>
      <c r="D209" s="78" t="s">
        <v>156</v>
      </c>
      <c r="E209" s="78" t="s">
        <v>157</v>
      </c>
    </row>
    <row r="210" spans="2:8" ht="15.75" customHeight="1" x14ac:dyDescent="0.35">
      <c r="B210" s="79" t="s">
        <v>158</v>
      </c>
      <c r="C210" s="79" t="s">
        <v>159</v>
      </c>
      <c r="D210" s="80" t="s">
        <v>158</v>
      </c>
      <c r="F210" s="80" t="str">
        <f t="shared" ref="F210:F221" si="0">IF(NOT(ISBLANK(D210)),D210,IF(NOT(ISBLANK(E210)),"     "&amp;E210,FALSE))</f>
        <v>Afectación Económica o presupuestal</v>
      </c>
      <c r="G210" s="80" t="s">
        <v>158</v>
      </c>
      <c r="H210" s="80" t="str">
        <f ca="1">IF(NOT(ISERROR(MATCH(G210,ANCHORARRAY(B221),0))),F223&amp;"Por favor no seleccionar los criterios de impacto",G210)</f>
        <v>Afectación Económica o presupuestal</v>
      </c>
    </row>
    <row r="211" spans="2:8" ht="15.75" customHeight="1" x14ac:dyDescent="0.35">
      <c r="B211" s="79" t="s">
        <v>158</v>
      </c>
      <c r="C211" s="79" t="s">
        <v>131</v>
      </c>
      <c r="E211" s="80" t="s">
        <v>159</v>
      </c>
      <c r="F211" s="80" t="str">
        <f t="shared" si="0"/>
        <v xml:space="preserve">     Afectación menor a 10 SMLMV .</v>
      </c>
    </row>
    <row r="212" spans="2:8" ht="15.75" customHeight="1" x14ac:dyDescent="0.35">
      <c r="B212" s="79" t="s">
        <v>158</v>
      </c>
      <c r="C212" s="79" t="s">
        <v>134</v>
      </c>
      <c r="E212" s="80" t="s">
        <v>131</v>
      </c>
      <c r="F212" s="80" t="str">
        <f t="shared" si="0"/>
        <v xml:space="preserve">     Entre 10 y 50 SMLMV </v>
      </c>
    </row>
    <row r="213" spans="2:8" ht="15.75" customHeight="1" x14ac:dyDescent="0.35">
      <c r="B213" s="79" t="s">
        <v>158</v>
      </c>
      <c r="C213" s="79" t="s">
        <v>138</v>
      </c>
      <c r="E213" s="80" t="s">
        <v>134</v>
      </c>
      <c r="F213" s="80" t="str">
        <f t="shared" si="0"/>
        <v xml:space="preserve">     Entre 50 y 100 SMLMV </v>
      </c>
    </row>
    <row r="214" spans="2:8" ht="15.75" customHeight="1" x14ac:dyDescent="0.35">
      <c r="B214" s="79" t="s">
        <v>158</v>
      </c>
      <c r="C214" s="79" t="s">
        <v>142</v>
      </c>
      <c r="E214" s="80" t="s">
        <v>138</v>
      </c>
      <c r="F214" s="80" t="str">
        <f t="shared" si="0"/>
        <v xml:space="preserve">     Entre 100 y 500 SMLMV </v>
      </c>
    </row>
    <row r="215" spans="2:8" ht="15.75" customHeight="1" x14ac:dyDescent="0.35">
      <c r="B215" s="79" t="s">
        <v>124</v>
      </c>
      <c r="C215" s="79" t="s">
        <v>128</v>
      </c>
      <c r="E215" s="80" t="s">
        <v>142</v>
      </c>
      <c r="F215" s="80" t="str">
        <f t="shared" si="0"/>
        <v xml:space="preserve">     Mayor a 500 SMLMV </v>
      </c>
    </row>
    <row r="216" spans="2:8" ht="15.75" customHeight="1" x14ac:dyDescent="0.35">
      <c r="B216" s="79" t="s">
        <v>124</v>
      </c>
      <c r="C216" s="79" t="s">
        <v>132</v>
      </c>
      <c r="D216" s="80" t="s">
        <v>124</v>
      </c>
      <c r="F216" s="80" t="str">
        <f t="shared" si="0"/>
        <v>Pérdida Reputacional</v>
      </c>
    </row>
    <row r="217" spans="2:8" ht="15.75" customHeight="1" x14ac:dyDescent="0.35">
      <c r="B217" s="79" t="s">
        <v>124</v>
      </c>
      <c r="C217" s="79" t="s">
        <v>135</v>
      </c>
      <c r="E217" s="80" t="s">
        <v>128</v>
      </c>
      <c r="F217" s="80" t="str">
        <f t="shared" si="0"/>
        <v xml:space="preserve">     El riesgo afecta la imagen de alguna área de la organización</v>
      </c>
    </row>
    <row r="218" spans="2:8" ht="15.75" customHeight="1" x14ac:dyDescent="0.35">
      <c r="B218" s="79" t="s">
        <v>124</v>
      </c>
      <c r="C218" s="79" t="s">
        <v>139</v>
      </c>
      <c r="E218" s="80" t="s">
        <v>132</v>
      </c>
      <c r="F218" s="80" t="str">
        <f t="shared" si="0"/>
        <v xml:space="preserve">     El riesgo afecta la imagen de la entidad internamente, de conocimiento general, nivel interno, de junta dircetiva y accionistas y/o de provedores</v>
      </c>
    </row>
    <row r="219" spans="2:8" ht="15.75" customHeight="1" x14ac:dyDescent="0.35">
      <c r="B219" s="79" t="s">
        <v>124</v>
      </c>
      <c r="C219" s="79" t="s">
        <v>143</v>
      </c>
      <c r="E219" s="80" t="s">
        <v>135</v>
      </c>
      <c r="F219" s="80" t="str">
        <f t="shared" si="0"/>
        <v xml:space="preserve">     El riesgo afecta la imagen de la entidad con algunos usuarios de relevancia frente al logro de los objetivos</v>
      </c>
    </row>
    <row r="220" spans="2:8" ht="15.75" customHeight="1" x14ac:dyDescent="0.25">
      <c r="B220" s="81"/>
      <c r="C220" s="81"/>
      <c r="E220" s="80" t="s">
        <v>139</v>
      </c>
      <c r="F220" s="80" t="str">
        <f t="shared" si="0"/>
        <v xml:space="preserve">     El riesgo afecta la imagen de de la entidad con efecto publicitario sostenido a nivel de sector administrativo, nivel departamental o municipal</v>
      </c>
    </row>
    <row r="221" spans="2:8" ht="15.75" customHeight="1" x14ac:dyDescent="0.25">
      <c r="B221" s="81" t="str">
        <f ca="1">IFERROR(__xludf.DUMMYFUNCTION("ARRAY_CONSTRAIN(ARRAYFORMULA(UNIQUE('Tabla Impacto'!$B$209:$B$219)), 3, 1)"),"Criterios")</f>
        <v>Criterios</v>
      </c>
      <c r="C221" s="81"/>
      <c r="E221" s="80" t="s">
        <v>143</v>
      </c>
      <c r="F221" s="80" t="str">
        <f t="shared" si="0"/>
        <v xml:space="preserve">     El riesgo afecta la imagen de la entidad a nivel nacional, con efecto publicitarios sostenible a nivel país</v>
      </c>
    </row>
    <row r="222" spans="2:8" ht="15.75" customHeight="1" x14ac:dyDescent="0.25">
      <c r="B222" s="81" t="str">
        <f ca="1">IFERROR(__xludf.DUMMYFUNCTION("""COMPUTED_VALUE"""),"Afectación Económica o presupuestal")</f>
        <v>Afectación Económica o presupuestal</v>
      </c>
      <c r="C222" s="81"/>
    </row>
    <row r="223" spans="2:8" ht="15.75" customHeight="1" x14ac:dyDescent="0.25">
      <c r="B223" s="81" t="str">
        <f ca="1">IFERROR(__xludf.DUMMYFUNCTION("""COMPUTED_VALUE"""),"Pérdida Reputacional")</f>
        <v>Pérdida Reputacional</v>
      </c>
      <c r="C223" s="81"/>
      <c r="F223" s="82" t="s">
        <v>160</v>
      </c>
    </row>
    <row r="224" spans="2:8" ht="15.75" customHeight="1" x14ac:dyDescent="0.25">
      <c r="B224" s="78"/>
      <c r="C224" s="78"/>
      <c r="F224" s="82" t="s">
        <v>161</v>
      </c>
    </row>
  </sheetData>
  <mergeCells count="1">
    <mergeCell ref="B1:D1"/>
  </mergeCells>
  <dataValidations count="1">
    <dataValidation type="list" allowBlank="1" showErrorMessage="1" sqref="G210" xr:uid="{00000000-0002-0000-0500-000000000000}">
      <formula1>$F$210:$F$221</formula1>
    </dataValidation>
  </dataValidations>
  <pageMargins left="0.7" right="0.7" top="0.75" bottom="0.75" header="0" footer="0"/>
  <pageSetup orientation="portrait"/>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5F497A"/>
  </sheetPr>
  <dimension ref="B1:F15"/>
  <sheetViews>
    <sheetView workbookViewId="0">
      <selection activeCell="E7" sqref="E7"/>
    </sheetView>
  </sheetViews>
  <sheetFormatPr baseColWidth="10" defaultColWidth="12.625" defaultRowHeight="15" customHeight="1" x14ac:dyDescent="0.2"/>
  <cols>
    <col min="1" max="2" width="12.5" customWidth="1"/>
    <col min="3" max="3" width="14.875" customWidth="1"/>
    <col min="4" max="4" width="12.5" customWidth="1"/>
    <col min="5" max="5" width="40.25" customWidth="1"/>
    <col min="6" max="26" width="12.5" customWidth="1"/>
  </cols>
  <sheetData>
    <row r="1" spans="2:6" ht="24" customHeight="1" x14ac:dyDescent="0.2">
      <c r="B1" s="295" t="s">
        <v>162</v>
      </c>
      <c r="C1" s="296"/>
      <c r="D1" s="296"/>
      <c r="E1" s="296"/>
      <c r="F1" s="297"/>
    </row>
    <row r="2" spans="2:6" ht="12.75" customHeight="1" x14ac:dyDescent="0.25">
      <c r="B2" s="83"/>
      <c r="C2" s="83"/>
      <c r="D2" s="83"/>
      <c r="E2" s="83"/>
      <c r="F2" s="83"/>
    </row>
    <row r="3" spans="2:6" ht="12.75" customHeight="1" x14ac:dyDescent="0.2">
      <c r="B3" s="298" t="s">
        <v>163</v>
      </c>
      <c r="C3" s="296"/>
      <c r="D3" s="299"/>
      <c r="E3" s="84" t="s">
        <v>164</v>
      </c>
      <c r="F3" s="85" t="s">
        <v>165</v>
      </c>
    </row>
    <row r="4" spans="2:6" ht="12.75" customHeight="1" x14ac:dyDescent="0.2">
      <c r="B4" s="300" t="s">
        <v>166</v>
      </c>
      <c r="C4" s="303" t="s">
        <v>86</v>
      </c>
      <c r="D4" s="86" t="s">
        <v>167</v>
      </c>
      <c r="E4" s="87" t="s">
        <v>168</v>
      </c>
      <c r="F4" s="88">
        <v>0.25</v>
      </c>
    </row>
    <row r="5" spans="2:6" ht="12.75" customHeight="1" x14ac:dyDescent="0.2">
      <c r="B5" s="301"/>
      <c r="C5" s="304"/>
      <c r="D5" s="89" t="s">
        <v>169</v>
      </c>
      <c r="E5" s="90" t="s">
        <v>170</v>
      </c>
      <c r="F5" s="91">
        <v>0.15</v>
      </c>
    </row>
    <row r="6" spans="2:6" ht="12.75" customHeight="1" x14ac:dyDescent="0.2">
      <c r="B6" s="301"/>
      <c r="C6" s="293"/>
      <c r="D6" s="89" t="s">
        <v>171</v>
      </c>
      <c r="E6" s="90" t="s">
        <v>172</v>
      </c>
      <c r="F6" s="91">
        <v>0.1</v>
      </c>
    </row>
    <row r="7" spans="2:6" ht="12.75" customHeight="1" x14ac:dyDescent="0.2">
      <c r="B7" s="301"/>
      <c r="C7" s="292" t="s">
        <v>87</v>
      </c>
      <c r="D7" s="89" t="s">
        <v>173</v>
      </c>
      <c r="E7" s="90" t="s">
        <v>174</v>
      </c>
      <c r="F7" s="91">
        <v>0.25</v>
      </c>
    </row>
    <row r="8" spans="2:6" ht="12.75" customHeight="1" x14ac:dyDescent="0.2">
      <c r="B8" s="302"/>
      <c r="C8" s="293"/>
      <c r="D8" s="89" t="s">
        <v>175</v>
      </c>
      <c r="E8" s="90" t="s">
        <v>176</v>
      </c>
      <c r="F8" s="91">
        <v>0.15</v>
      </c>
    </row>
    <row r="9" spans="2:6" ht="12.75" customHeight="1" x14ac:dyDescent="0.2">
      <c r="B9" s="305" t="s">
        <v>177</v>
      </c>
      <c r="C9" s="292" t="s">
        <v>89</v>
      </c>
      <c r="D9" s="89" t="s">
        <v>178</v>
      </c>
      <c r="E9" s="90" t="s">
        <v>179</v>
      </c>
      <c r="F9" s="92" t="s">
        <v>180</v>
      </c>
    </row>
    <row r="10" spans="2:6" ht="12.75" customHeight="1" x14ac:dyDescent="0.2">
      <c r="B10" s="301"/>
      <c r="C10" s="293"/>
      <c r="D10" s="89" t="s">
        <v>181</v>
      </c>
      <c r="E10" s="90" t="s">
        <v>182</v>
      </c>
      <c r="F10" s="92" t="s">
        <v>180</v>
      </c>
    </row>
    <row r="11" spans="2:6" ht="12.75" customHeight="1" x14ac:dyDescent="0.2">
      <c r="B11" s="301"/>
      <c r="C11" s="292" t="s">
        <v>90</v>
      </c>
      <c r="D11" s="89" t="s">
        <v>183</v>
      </c>
      <c r="E11" s="90" t="s">
        <v>184</v>
      </c>
      <c r="F11" s="92" t="s">
        <v>180</v>
      </c>
    </row>
    <row r="12" spans="2:6" ht="12.75" customHeight="1" x14ac:dyDescent="0.2">
      <c r="B12" s="301"/>
      <c r="C12" s="293"/>
      <c r="D12" s="89" t="s">
        <v>185</v>
      </c>
      <c r="E12" s="90" t="s">
        <v>186</v>
      </c>
      <c r="F12" s="92" t="s">
        <v>180</v>
      </c>
    </row>
    <row r="13" spans="2:6" ht="12.75" customHeight="1" x14ac:dyDescent="0.2">
      <c r="B13" s="301"/>
      <c r="C13" s="292" t="s">
        <v>91</v>
      </c>
      <c r="D13" s="89" t="s">
        <v>187</v>
      </c>
      <c r="E13" s="90" t="s">
        <v>188</v>
      </c>
      <c r="F13" s="92" t="s">
        <v>180</v>
      </c>
    </row>
    <row r="14" spans="2:6" ht="12.75" customHeight="1" x14ac:dyDescent="0.2">
      <c r="B14" s="306"/>
      <c r="C14" s="294"/>
      <c r="D14" s="93" t="s">
        <v>189</v>
      </c>
      <c r="E14" s="94" t="s">
        <v>190</v>
      </c>
      <c r="F14" s="95" t="s">
        <v>180</v>
      </c>
    </row>
    <row r="15" spans="2:6" ht="49.5" customHeight="1" x14ac:dyDescent="0.2">
      <c r="B15" s="290" t="s">
        <v>191</v>
      </c>
      <c r="C15" s="229"/>
      <c r="D15" s="229"/>
      <c r="E15" s="229"/>
      <c r="F15" s="291"/>
    </row>
  </sheetData>
  <mergeCells count="10">
    <mergeCell ref="B15:F15"/>
    <mergeCell ref="C11:C12"/>
    <mergeCell ref="C13:C14"/>
    <mergeCell ref="B1:F1"/>
    <mergeCell ref="B3:D3"/>
    <mergeCell ref="B4:B8"/>
    <mergeCell ref="C4:C6"/>
    <mergeCell ref="C7:C8"/>
    <mergeCell ref="B9:B14"/>
    <mergeCell ref="C9:C10"/>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L15"/>
  <sheetViews>
    <sheetView workbookViewId="0">
      <selection activeCell="F19" sqref="F19"/>
    </sheetView>
  </sheetViews>
  <sheetFormatPr baseColWidth="10" defaultColWidth="11" defaultRowHeight="14.25" x14ac:dyDescent="0.2"/>
  <sheetData>
    <row r="2" spans="2:12" ht="15.75" x14ac:dyDescent="0.3">
      <c r="B2" s="100"/>
      <c r="C2" s="330" t="s">
        <v>226</v>
      </c>
      <c r="D2" s="330"/>
      <c r="E2" s="330"/>
      <c r="F2" s="330"/>
      <c r="G2" s="330"/>
      <c r="H2" s="330"/>
      <c r="I2" s="330"/>
      <c r="J2" s="330"/>
      <c r="K2" s="330"/>
      <c r="L2" s="330"/>
    </row>
    <row r="3" spans="2:12" ht="16.5" thickBot="1" x14ac:dyDescent="0.35">
      <c r="B3" s="100"/>
      <c r="C3" s="101"/>
      <c r="G3" s="100"/>
      <c r="H3" s="100"/>
      <c r="I3" s="100"/>
      <c r="J3" s="100"/>
      <c r="K3" s="100"/>
      <c r="L3" s="100"/>
    </row>
    <row r="4" spans="2:12" x14ac:dyDescent="0.2">
      <c r="B4" s="331" t="s">
        <v>227</v>
      </c>
      <c r="C4" s="332"/>
      <c r="D4" s="332" t="s">
        <v>228</v>
      </c>
      <c r="E4" s="332"/>
      <c r="F4" s="332"/>
      <c r="G4" s="332"/>
      <c r="H4" s="332" t="s">
        <v>229</v>
      </c>
      <c r="I4" s="332"/>
      <c r="J4" s="332"/>
      <c r="K4" s="332" t="s">
        <v>230</v>
      </c>
      <c r="L4" s="333"/>
    </row>
    <row r="5" spans="2:12" ht="17.25" thickBot="1" x14ac:dyDescent="0.35">
      <c r="B5" s="325"/>
      <c r="C5" s="326"/>
      <c r="D5" s="327"/>
      <c r="E5" s="327"/>
      <c r="F5" s="327"/>
      <c r="G5" s="327"/>
      <c r="H5" s="328"/>
      <c r="I5" s="328"/>
      <c r="J5" s="328"/>
      <c r="K5" s="328"/>
      <c r="L5" s="329"/>
    </row>
    <row r="6" spans="2:12" ht="16.5" x14ac:dyDescent="0.3">
      <c r="B6" s="100"/>
      <c r="C6" s="102"/>
      <c r="G6" s="100"/>
      <c r="H6" s="100"/>
      <c r="I6" s="100"/>
      <c r="J6" s="100"/>
      <c r="K6" s="100"/>
      <c r="L6" s="100"/>
    </row>
    <row r="7" spans="2:12" ht="17.25" thickBot="1" x14ac:dyDescent="0.35">
      <c r="B7" s="100"/>
      <c r="C7" s="102"/>
      <c r="G7" s="100"/>
      <c r="H7" s="100"/>
      <c r="I7" s="100"/>
      <c r="J7" s="100"/>
      <c r="K7" s="100"/>
      <c r="L7" s="100"/>
    </row>
    <row r="8" spans="2:12" x14ac:dyDescent="0.2">
      <c r="B8" s="322" t="s">
        <v>231</v>
      </c>
      <c r="C8" s="323"/>
      <c r="D8" s="323"/>
      <c r="E8" s="324"/>
      <c r="F8" s="322" t="s">
        <v>232</v>
      </c>
      <c r="G8" s="323"/>
      <c r="H8" s="323"/>
      <c r="I8" s="324"/>
      <c r="J8" s="322" t="s">
        <v>233</v>
      </c>
      <c r="K8" s="323"/>
      <c r="L8" s="324"/>
    </row>
    <row r="9" spans="2:12" ht="15.75" x14ac:dyDescent="0.3">
      <c r="B9" s="316"/>
      <c r="C9" s="317"/>
      <c r="D9" s="317"/>
      <c r="E9" s="318"/>
      <c r="F9" s="319"/>
      <c r="G9" s="320"/>
      <c r="H9" s="320"/>
      <c r="I9" s="321"/>
      <c r="J9" s="319"/>
      <c r="K9" s="320"/>
      <c r="L9" s="321"/>
    </row>
    <row r="10" spans="2:12" ht="15.75" x14ac:dyDescent="0.3">
      <c r="B10" s="316"/>
      <c r="C10" s="317"/>
      <c r="D10" s="317"/>
      <c r="E10" s="318"/>
      <c r="F10" s="319"/>
      <c r="G10" s="320"/>
      <c r="H10" s="320"/>
      <c r="I10" s="321"/>
      <c r="J10" s="319"/>
      <c r="K10" s="320"/>
      <c r="L10" s="321"/>
    </row>
    <row r="11" spans="2:12" ht="15.75" x14ac:dyDescent="0.3">
      <c r="B11" s="316"/>
      <c r="C11" s="317"/>
      <c r="D11" s="317"/>
      <c r="E11" s="318"/>
      <c r="F11" s="319"/>
      <c r="G11" s="320"/>
      <c r="H11" s="320"/>
      <c r="I11" s="321"/>
      <c r="J11" s="319"/>
      <c r="K11" s="320"/>
      <c r="L11" s="321"/>
    </row>
    <row r="12" spans="2:12" ht="15.75" x14ac:dyDescent="0.3">
      <c r="B12" s="316"/>
      <c r="C12" s="317"/>
      <c r="D12" s="317"/>
      <c r="E12" s="318"/>
      <c r="F12" s="319"/>
      <c r="G12" s="320"/>
      <c r="H12" s="320"/>
      <c r="I12" s="321"/>
      <c r="J12" s="319"/>
      <c r="K12" s="320"/>
      <c r="L12" s="321"/>
    </row>
    <row r="13" spans="2:12" x14ac:dyDescent="0.2">
      <c r="B13" s="307" t="s">
        <v>234</v>
      </c>
      <c r="C13" s="308"/>
      <c r="D13" s="308"/>
      <c r="E13" s="309"/>
      <c r="F13" s="307" t="s">
        <v>235</v>
      </c>
      <c r="G13" s="308"/>
      <c r="H13" s="308"/>
      <c r="I13" s="309"/>
      <c r="J13" s="307" t="s">
        <v>236</v>
      </c>
      <c r="K13" s="308"/>
      <c r="L13" s="309"/>
    </row>
    <row r="14" spans="2:12" x14ac:dyDescent="0.2">
      <c r="B14" s="307" t="s">
        <v>237</v>
      </c>
      <c r="C14" s="308"/>
      <c r="D14" s="308"/>
      <c r="E14" s="309"/>
      <c r="F14" s="307" t="s">
        <v>238</v>
      </c>
      <c r="G14" s="308"/>
      <c r="H14" s="308"/>
      <c r="I14" s="309"/>
      <c r="J14" s="307" t="s">
        <v>239</v>
      </c>
      <c r="K14" s="308"/>
      <c r="L14" s="309"/>
    </row>
    <row r="15" spans="2:12" ht="16.5" thickBot="1" x14ac:dyDescent="0.35">
      <c r="B15" s="310"/>
      <c r="C15" s="311"/>
      <c r="D15" s="311"/>
      <c r="E15" s="312"/>
      <c r="F15" s="313"/>
      <c r="G15" s="314"/>
      <c r="H15" s="314"/>
      <c r="I15" s="315"/>
      <c r="J15" s="310"/>
      <c r="K15" s="311"/>
      <c r="L15" s="312"/>
    </row>
  </sheetData>
  <mergeCells count="33">
    <mergeCell ref="B5:C5"/>
    <mergeCell ref="D5:G5"/>
    <mergeCell ref="H5:J5"/>
    <mergeCell ref="K5:L5"/>
    <mergeCell ref="C2:L2"/>
    <mergeCell ref="B4:C4"/>
    <mergeCell ref="D4:G4"/>
    <mergeCell ref="H4:J4"/>
    <mergeCell ref="K4:L4"/>
    <mergeCell ref="B8:E8"/>
    <mergeCell ref="F8:I8"/>
    <mergeCell ref="J8:L8"/>
    <mergeCell ref="B9:E9"/>
    <mergeCell ref="F9:I9"/>
    <mergeCell ref="J9:L9"/>
    <mergeCell ref="B10:E10"/>
    <mergeCell ref="F10:I10"/>
    <mergeCell ref="J10:L10"/>
    <mergeCell ref="B11:E11"/>
    <mergeCell ref="F11:I11"/>
    <mergeCell ref="J11:L11"/>
    <mergeCell ref="B12:E12"/>
    <mergeCell ref="F12:I12"/>
    <mergeCell ref="J12:L12"/>
    <mergeCell ref="B13:E13"/>
    <mergeCell ref="F13:I13"/>
    <mergeCell ref="J13:L13"/>
    <mergeCell ref="B14:E14"/>
    <mergeCell ref="F14:I14"/>
    <mergeCell ref="J14:L14"/>
    <mergeCell ref="B15:E15"/>
    <mergeCell ref="F15:I15"/>
    <mergeCell ref="J15:L1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workbookViewId="0"/>
  </sheetViews>
  <sheetFormatPr baseColWidth="10" defaultColWidth="12.625" defaultRowHeight="15" customHeight="1" x14ac:dyDescent="0.2"/>
  <cols>
    <col min="1" max="26" width="9.375" customWidth="1"/>
  </cols>
  <sheetData>
    <row r="2" spans="2:5" ht="15" customHeight="1" x14ac:dyDescent="0.25">
      <c r="B2" s="80" t="s">
        <v>192</v>
      </c>
      <c r="E2" s="80" t="s">
        <v>193</v>
      </c>
    </row>
    <row r="3" spans="2:5" ht="15" customHeight="1" x14ac:dyDescent="0.25">
      <c r="B3" s="80" t="s">
        <v>194</v>
      </c>
      <c r="E3" s="80" t="s">
        <v>195</v>
      </c>
    </row>
    <row r="4" spans="2:5" ht="15" customHeight="1" x14ac:dyDescent="0.25">
      <c r="B4" s="80" t="s">
        <v>196</v>
      </c>
      <c r="E4" s="80" t="s">
        <v>197</v>
      </c>
    </row>
    <row r="5" spans="2:5" ht="15" customHeight="1" x14ac:dyDescent="0.25">
      <c r="B5" s="80" t="s">
        <v>198</v>
      </c>
    </row>
    <row r="8" spans="2:5" ht="15" customHeight="1" x14ac:dyDescent="0.25">
      <c r="B8" s="80" t="s">
        <v>199</v>
      </c>
    </row>
    <row r="9" spans="2:5" ht="15" customHeight="1" x14ac:dyDescent="0.25">
      <c r="B9" s="80" t="s">
        <v>200</v>
      </c>
    </row>
    <row r="10" spans="2:5" ht="15" customHeight="1" x14ac:dyDescent="0.25">
      <c r="B10" s="80" t="s">
        <v>201</v>
      </c>
    </row>
    <row r="13" spans="2:5" ht="15" customHeight="1" x14ac:dyDescent="0.25">
      <c r="B13" s="80" t="s">
        <v>202</v>
      </c>
    </row>
    <row r="14" spans="2:5" ht="15" customHeight="1" x14ac:dyDescent="0.25">
      <c r="B14" s="80" t="s">
        <v>203</v>
      </c>
    </row>
    <row r="15" spans="2:5" ht="15" customHeight="1" x14ac:dyDescent="0.25">
      <c r="B15" s="80" t="s">
        <v>204</v>
      </c>
    </row>
    <row r="16" spans="2:5" ht="15" customHeight="1" x14ac:dyDescent="0.25">
      <c r="B16" s="80" t="s">
        <v>205</v>
      </c>
    </row>
    <row r="17" spans="2:2" ht="15" customHeight="1" x14ac:dyDescent="0.25">
      <c r="B17" s="80" t="s">
        <v>206</v>
      </c>
    </row>
    <row r="18" spans="2:2" ht="15" customHeight="1" x14ac:dyDescent="0.25">
      <c r="B18" s="80" t="s">
        <v>207</v>
      </c>
    </row>
    <row r="19" spans="2:2" ht="15" customHeight="1" x14ac:dyDescent="0.25">
      <c r="B19" s="80" t="s">
        <v>208</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Mapa final</vt:lpstr>
      <vt:lpstr>Intructivo</vt:lpstr>
      <vt:lpstr>Matriz Calor Inherente</vt:lpstr>
      <vt:lpstr>Matriz Calor Residual</vt:lpstr>
      <vt:lpstr>Tabla probabilidad</vt:lpstr>
      <vt:lpstr>Tabla Impacto</vt:lpstr>
      <vt:lpstr>Tabla Valoración controles</vt:lpstr>
      <vt:lpstr>CONTROL DE CAMBIOS</vt:lpstr>
      <vt:lpstr>Opciones Tratamiento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Sec Infraestructura Cultura y Deporte</cp:lastModifiedBy>
  <cp:lastPrinted>2023-11-30T22:01:40Z</cp:lastPrinted>
  <dcterms:created xsi:type="dcterms:W3CDTF">2020-03-24T23:12:47Z</dcterms:created>
  <dcterms:modified xsi:type="dcterms:W3CDTF">2025-10-24T20:23:15Z</dcterms:modified>
</cp:coreProperties>
</file>