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ur_Desp-689821\Desktop\Daniela Viviana Yela\Año 2025\03. Informes\Mapas de Riesgo\Gestión\"/>
    </mc:Choice>
  </mc:AlternateContent>
  <xr:revisionPtr revIDLastSave="0" documentId="13_ncr:1_{2DA4BF11-BEF0-44A3-B448-76E202EC61D9}" xr6:coauthVersionLast="47" xr6:coauthVersionMax="47" xr10:uidLastSave="{00000000-0000-0000-0000-000000000000}"/>
  <bookViews>
    <workbookView xWindow="-120" yWindow="-120" windowWidth="29040" windowHeight="15840" xr2:uid="{00000000-000D-0000-FFFF-FFFF0000000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3" i="2" l="1"/>
  <c r="T42" i="2"/>
  <c r="T41" i="2"/>
  <c r="T38" i="2"/>
  <c r="T37" i="2"/>
  <c r="T36" i="2"/>
  <c r="T33" i="2"/>
  <c r="T32" i="2"/>
  <c r="T31" i="2"/>
  <c r="T28" i="2"/>
  <c r="T27" i="2"/>
  <c r="T26" i="2"/>
  <c r="T23" i="2"/>
  <c r="T22" i="2"/>
  <c r="T21" i="2"/>
  <c r="T18" i="2"/>
  <c r="T17" i="2"/>
  <c r="H41" i="2"/>
  <c r="H36" i="2"/>
  <c r="H31" i="2"/>
  <c r="H26" i="2"/>
  <c r="H21" i="2"/>
  <c r="T40" i="2" l="1"/>
  <c r="T39" i="2"/>
  <c r="T35" i="2"/>
  <c r="T34" i="2"/>
  <c r="T30" i="2"/>
  <c r="T29" i="2"/>
  <c r="T20" i="2"/>
  <c r="T19" i="2"/>
  <c r="T16" i="2"/>
  <c r="Q43" i="2"/>
  <c r="Q42" i="2"/>
  <c r="Q41" i="2"/>
  <c r="Q40" i="2"/>
  <c r="X40" i="2" s="1"/>
  <c r="Q39" i="2"/>
  <c r="X39" i="2" s="1"/>
  <c r="Q38" i="2"/>
  <c r="Q37" i="2"/>
  <c r="Q36" i="2"/>
  <c r="Q35" i="2"/>
  <c r="AB35" i="2" s="1"/>
  <c r="AA35" i="2" s="1"/>
  <c r="Q34" i="2"/>
  <c r="AB34" i="2" s="1"/>
  <c r="AA34" i="2" s="1"/>
  <c r="Q33" i="2"/>
  <c r="Q32" i="2"/>
  <c r="Q31" i="2"/>
  <c r="Q30" i="2"/>
  <c r="AB30" i="2" s="1"/>
  <c r="AA30" i="2" s="1"/>
  <c r="Q29" i="2"/>
  <c r="AB29" i="2" s="1"/>
  <c r="AA29" i="2" s="1"/>
  <c r="Q28" i="2"/>
  <c r="Q27" i="2"/>
  <c r="Q26" i="2"/>
  <c r="Q25" i="2"/>
  <c r="AB25" i="2" s="1"/>
  <c r="AA25" i="2" s="1"/>
  <c r="Q24" i="2"/>
  <c r="X24" i="2" s="1"/>
  <c r="Q23" i="2"/>
  <c r="Q22" i="2"/>
  <c r="Q21" i="2"/>
  <c r="Q20" i="2"/>
  <c r="AB20" i="2" s="1"/>
  <c r="AA20" i="2" s="1"/>
  <c r="Q19" i="2"/>
  <c r="AB19" i="2" s="1"/>
  <c r="AA19" i="2" s="1"/>
  <c r="Q18" i="2"/>
  <c r="Q17" i="2"/>
  <c r="Q16" i="2"/>
  <c r="I41" i="2"/>
  <c r="I36" i="2"/>
  <c r="I31" i="2"/>
  <c r="I26" i="2"/>
  <c r="I21" i="2"/>
  <c r="H16" i="2"/>
  <c r="I16" i="2" s="1"/>
  <c r="H45" i="2"/>
  <c r="H44" i="2"/>
  <c r="H40" i="2"/>
  <c r="H39" i="2"/>
  <c r="H35" i="2"/>
  <c r="H34" i="2"/>
  <c r="H30" i="2"/>
  <c r="H29" i="2"/>
  <c r="H25" i="2"/>
  <c r="I25" i="2" s="1"/>
  <c r="H24" i="2"/>
  <c r="H20" i="2"/>
  <c r="H19" i="2"/>
  <c r="T44" i="2"/>
  <c r="X44" i="2"/>
  <c r="Z44" i="2" s="1"/>
  <c r="AB44" i="2"/>
  <c r="AA44" i="2" s="1"/>
  <c r="T45" i="2"/>
  <c r="AB43" i="2" l="1"/>
  <c r="AA43" i="2" s="1"/>
  <c r="X43" i="2"/>
  <c r="AB42" i="2"/>
  <c r="AA42" i="2" s="1"/>
  <c r="AB41" i="2"/>
  <c r="AA41" i="2" s="1"/>
  <c r="X42" i="2"/>
  <c r="X41" i="2"/>
  <c r="Z41" i="2" s="1"/>
  <c r="AB38" i="2"/>
  <c r="AA38" i="2" s="1"/>
  <c r="X38" i="2"/>
  <c r="X37" i="2"/>
  <c r="X36" i="2"/>
  <c r="AB37" i="2"/>
  <c r="AA37" i="2" s="1"/>
  <c r="AB36" i="2"/>
  <c r="AA36" i="2" s="1"/>
  <c r="X33" i="2"/>
  <c r="Z33" i="2" s="1"/>
  <c r="AB33" i="2"/>
  <c r="AA33" i="2" s="1"/>
  <c r="AB31" i="2"/>
  <c r="AA31" i="2" s="1"/>
  <c r="X32" i="2"/>
  <c r="Z32" i="2" s="1"/>
  <c r="AB32" i="2"/>
  <c r="AA32" i="2" s="1"/>
  <c r="X31" i="2"/>
  <c r="Y31" i="2" s="1"/>
  <c r="X26" i="2"/>
  <c r="X21" i="2"/>
  <c r="Y21" i="2" s="1"/>
  <c r="X16" i="2"/>
  <c r="Y16" i="2" s="1"/>
  <c r="X25" i="2"/>
  <c r="Z25" i="2" s="1"/>
  <c r="Y39" i="2"/>
  <c r="Z39" i="2"/>
  <c r="Z24" i="2"/>
  <c r="Y24" i="2"/>
  <c r="Y32" i="2"/>
  <c r="Y40" i="2"/>
  <c r="Z40" i="2"/>
  <c r="AB39" i="2"/>
  <c r="AA39" i="2" s="1"/>
  <c r="X34" i="2"/>
  <c r="Y41" i="2"/>
  <c r="AB24" i="2"/>
  <c r="AA24" i="2" s="1"/>
  <c r="AB40" i="2"/>
  <c r="AA40" i="2" s="1"/>
  <c r="X19" i="2"/>
  <c r="X35" i="2"/>
  <c r="X20" i="2"/>
  <c r="X29" i="2"/>
  <c r="X30" i="2"/>
  <c r="I45" i="2"/>
  <c r="Y44" i="2"/>
  <c r="AC44" i="2" s="1"/>
  <c r="I44" i="2"/>
  <c r="I40" i="2"/>
  <c r="I39" i="2"/>
  <c r="I35" i="2"/>
  <c r="I34" i="2"/>
  <c r="I30" i="2"/>
  <c r="I29" i="2"/>
  <c r="I24" i="2"/>
  <c r="I20" i="2"/>
  <c r="I19" i="2"/>
  <c r="Q45" i="2"/>
  <c r="AC41" i="2" l="1"/>
  <c r="Y33" i="2"/>
  <c r="AC33" i="2" s="1"/>
  <c r="Z31" i="2"/>
  <c r="Y25" i="2"/>
  <c r="AC25" i="2" s="1"/>
  <c r="AC24" i="2"/>
  <c r="Z21" i="2"/>
  <c r="Z30" i="2"/>
  <c r="Y30" i="2"/>
  <c r="AC30" i="2" s="1"/>
  <c r="Z20" i="2"/>
  <c r="Y20" i="2"/>
  <c r="AC20" i="2" s="1"/>
  <c r="Z38" i="2"/>
  <c r="Y38" i="2"/>
  <c r="AC38" i="2" s="1"/>
  <c r="AC39" i="2"/>
  <c r="Z43" i="2"/>
  <c r="Y43" i="2"/>
  <c r="AC43" i="2" s="1"/>
  <c r="Z37" i="2"/>
  <c r="Y37" i="2"/>
  <c r="AC37" i="2" s="1"/>
  <c r="Z26" i="2"/>
  <c r="X27" i="2" s="1"/>
  <c r="Y27" i="2" s="1"/>
  <c r="Y26" i="2"/>
  <c r="AC40" i="2"/>
  <c r="AC31" i="2"/>
  <c r="Z35" i="2"/>
  <c r="Y35" i="2"/>
  <c r="AC35" i="2" s="1"/>
  <c r="Z19" i="2"/>
  <c r="Y19" i="2"/>
  <c r="AC19" i="2" s="1"/>
  <c r="Z42" i="2"/>
  <c r="Y42" i="2"/>
  <c r="AC42" i="2" s="1"/>
  <c r="Z36" i="2"/>
  <c r="Y36" i="2"/>
  <c r="AC36" i="2" s="1"/>
  <c r="Z29" i="2"/>
  <c r="Y29" i="2"/>
  <c r="AC29" i="2" s="1"/>
  <c r="Z34" i="2"/>
  <c r="Y34" i="2"/>
  <c r="AC34" i="2" s="1"/>
  <c r="AC32" i="2"/>
  <c r="Z16" i="2"/>
  <c r="X17" i="2" s="1"/>
  <c r="Z17" i="2" s="1"/>
  <c r="X18" i="2" s="1"/>
  <c r="Z18" i="2" s="1"/>
  <c r="X45" i="2"/>
  <c r="AB45" i="2"/>
  <c r="AA45" i="2" s="1"/>
  <c r="Z27" i="2" l="1"/>
  <c r="X28" i="2" s="1"/>
  <c r="Y18" i="2"/>
  <c r="X22" i="2"/>
  <c r="Z22" i="2" s="1"/>
  <c r="X23" i="2" s="1"/>
  <c r="Y17" i="2"/>
  <c r="Z45" i="2"/>
  <c r="Y45" i="2"/>
  <c r="AC45" i="2" s="1"/>
  <c r="Y28" i="2" l="1"/>
  <c r="Z28" i="2"/>
  <c r="Z23" i="2"/>
  <c r="Y23" i="2"/>
  <c r="Y22" i="2"/>
  <c r="AD31" i="2"/>
  <c r="AD41" i="2"/>
  <c r="AD36" i="2"/>
  <c r="F221" i="6"/>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3" i="6"/>
  <c r="B221" i="6"/>
  <c r="B222" i="6"/>
  <c r="K45" i="2" l="1"/>
  <c r="L45" i="2" s="1"/>
  <c r="M45" i="2" s="1"/>
  <c r="K40" i="2"/>
  <c r="L40" i="2" s="1"/>
  <c r="M40" i="2" s="1"/>
  <c r="K44" i="2"/>
  <c r="L44" i="2" s="1"/>
  <c r="K35" i="2"/>
  <c r="L35" i="2" s="1"/>
  <c r="M35" i="2" s="1"/>
  <c r="K39" i="2"/>
  <c r="L39" i="2" s="1"/>
  <c r="K30" i="2"/>
  <c r="L30" i="2" s="1"/>
  <c r="M30" i="2" s="1"/>
  <c r="K34" i="2"/>
  <c r="L34" i="2" s="1"/>
  <c r="K25" i="2"/>
  <c r="L25" i="2" s="1"/>
  <c r="N25" i="2" s="1"/>
  <c r="K29" i="2"/>
  <c r="L29" i="2" s="1"/>
  <c r="K20" i="2"/>
  <c r="L20" i="2" s="1"/>
  <c r="M20" i="2" s="1"/>
  <c r="K24" i="2"/>
  <c r="L24" i="2" s="1"/>
  <c r="K19" i="2"/>
  <c r="L19" i="2" s="1"/>
  <c r="M19" i="2" s="1"/>
  <c r="L34" i="3"/>
  <c r="J12" i="3"/>
  <c r="N45" i="2" l="1"/>
  <c r="N40" i="2"/>
  <c r="M44" i="2"/>
  <c r="N44" i="2"/>
  <c r="N35" i="2"/>
  <c r="M39" i="2"/>
  <c r="N39" i="2"/>
  <c r="N30" i="2"/>
  <c r="M34" i="2"/>
  <c r="N34" i="2"/>
  <c r="M25" i="2"/>
  <c r="M29" i="2"/>
  <c r="N29" i="2"/>
  <c r="N20" i="2"/>
  <c r="M24" i="2"/>
  <c r="N24" i="2"/>
  <c r="N19" i="2"/>
  <c r="AF54" i="4"/>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P49" i="4" l="1"/>
  <c r="AB51" i="4"/>
  <c r="T14" i="4"/>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V30" i="4"/>
  <c r="AB40" i="4"/>
  <c r="P50" i="4"/>
  <c r="AB10" i="4"/>
  <c r="J20" i="4"/>
  <c r="V50" i="4"/>
  <c r="J10" i="4"/>
  <c r="AH20" i="4"/>
  <c r="V40" i="4"/>
  <c r="P30" i="4"/>
  <c r="AB20" i="4"/>
  <c r="V20" i="4"/>
  <c r="AB30" i="4"/>
  <c r="J40" i="4"/>
  <c r="AH50" i="4"/>
  <c r="P10" i="4"/>
  <c r="V10" i="4"/>
  <c r="AH10" i="4"/>
  <c r="J30" i="4"/>
  <c r="P40" i="4"/>
  <c r="AH40"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V51"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B31" i="4" l="1"/>
  <c r="J51" i="4"/>
  <c r="P31" i="4"/>
  <c r="J31" i="4"/>
  <c r="V31" i="4"/>
  <c r="AH11" i="4"/>
  <c r="P21" i="4"/>
  <c r="AH41" i="4"/>
  <c r="J21" i="4"/>
  <c r="AB21" i="4"/>
  <c r="P41" i="4"/>
  <c r="J11" i="4"/>
  <c r="V21" i="4"/>
  <c r="P11" i="4"/>
  <c r="V41" i="4"/>
  <c r="AH31" i="4"/>
  <c r="AB41" i="4"/>
  <c r="AH51" i="4"/>
  <c r="V11" i="4"/>
  <c r="AH21" i="4"/>
  <c r="AB11" i="4"/>
  <c r="J41" i="4"/>
  <c r="P51" i="4"/>
  <c r="AC7" i="4"/>
  <c r="W27" i="4"/>
  <c r="Q27" i="4"/>
  <c r="W17" i="4"/>
  <c r="Q37" i="4"/>
  <c r="AI47" i="4"/>
  <c r="AC27" i="4"/>
  <c r="K17" i="4"/>
  <c r="AI27" i="4"/>
  <c r="AI37" i="4"/>
  <c r="W7" i="4"/>
  <c r="Q7" i="4"/>
  <c r="AI17" i="4"/>
  <c r="K37" i="4"/>
  <c r="W47" i="4"/>
  <c r="K7" i="4"/>
  <c r="AC17" i="4"/>
  <c r="Q17" i="4"/>
  <c r="K27" i="4"/>
  <c r="AC37" i="4"/>
  <c r="K47" i="4"/>
  <c r="R27" i="4"/>
  <c r="AH9" i="4"/>
  <c r="AB49" i="4"/>
  <c r="V49" i="4"/>
  <c r="AH49" i="4"/>
  <c r="AH19" i="4"/>
  <c r="AB9" i="4"/>
  <c r="P29" i="4"/>
  <c r="V19" i="4"/>
  <c r="J39" i="4"/>
  <c r="P9" i="4"/>
  <c r="V29" i="4"/>
  <c r="V39" i="4"/>
  <c r="AB19" i="4"/>
  <c r="P39" i="4"/>
  <c r="J9" i="4"/>
  <c r="J19" i="4"/>
  <c r="AH29" i="4"/>
  <c r="AB29" i="4"/>
  <c r="J49" i="4"/>
  <c r="V9" i="4"/>
  <c r="AH39" i="4"/>
  <c r="J29" i="4"/>
  <c r="P19" i="4"/>
  <c r="AB39" i="4"/>
  <c r="AD10" i="4" l="1"/>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R50" i="4"/>
  <c r="X30" i="4"/>
  <c r="AJ30" i="4"/>
  <c r="L20" i="4"/>
  <c r="AJ40"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X47" i="4"/>
  <c r="L37" i="4"/>
  <c r="L17" i="4"/>
  <c r="X37" i="4"/>
  <c r="AD17" i="4"/>
  <c r="R17" i="4"/>
  <c r="AD27" i="4"/>
  <c r="R47" i="4"/>
  <c r="L47" i="4"/>
  <c r="AD47" i="4"/>
  <c r="AJ47" i="4"/>
  <c r="X27" i="4"/>
  <c r="AD37" i="4"/>
  <c r="X7" i="4"/>
  <c r="AJ27" i="4"/>
  <c r="AJ37" i="4"/>
  <c r="R37" i="4"/>
  <c r="L7" i="4"/>
  <c r="AJ7" i="4"/>
  <c r="AD7" i="4"/>
  <c r="L27" i="4"/>
  <c r="R7" i="4"/>
  <c r="X17" i="4"/>
  <c r="AJ17" i="4"/>
  <c r="R39" i="4"/>
  <c r="AI49" i="4"/>
  <c r="W49" i="4"/>
  <c r="AI29" i="4"/>
  <c r="W19" i="4"/>
  <c r="Q19" i="4"/>
  <c r="W9" i="4"/>
  <c r="W39" i="4"/>
  <c r="Q39" i="4"/>
  <c r="AI19" i="4"/>
  <c r="AI9" i="4"/>
  <c r="K49" i="4"/>
  <c r="AI39" i="4"/>
  <c r="W29" i="4"/>
  <c r="K19" i="4"/>
  <c r="Q29" i="4"/>
  <c r="K9" i="4"/>
  <c r="AC49" i="4"/>
  <c r="K29" i="4"/>
  <c r="AC9" i="4"/>
  <c r="AC29" i="4"/>
  <c r="Q49" i="4"/>
  <c r="K39" i="4"/>
  <c r="Q9" i="4"/>
  <c r="AC39" i="4"/>
  <c r="AC1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K36" i="2" l="1"/>
  <c r="L36" i="2" s="1"/>
  <c r="K41" i="2"/>
  <c r="L41" i="2" s="1"/>
  <c r="K26" i="2"/>
  <c r="L26" i="2" s="1"/>
  <c r="K31" i="2"/>
  <c r="L31" i="2" s="1"/>
  <c r="K16" i="2"/>
  <c r="K21" i="2"/>
  <c r="L21" i="2" s="1"/>
  <c r="M21" i="2" l="1"/>
  <c r="N21" i="2"/>
  <c r="M31" i="2"/>
  <c r="N31" i="2"/>
  <c r="M26" i="2"/>
  <c r="N26" i="2"/>
  <c r="N41" i="2"/>
  <c r="M41" i="2"/>
  <c r="N36" i="2"/>
  <c r="M36" i="2"/>
  <c r="AB21" i="2"/>
  <c r="N6" i="3"/>
  <c r="L16" i="2"/>
  <c r="N16"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AB22" i="2" l="1"/>
  <c r="AA22" i="2" s="1"/>
  <c r="AA21" i="2"/>
  <c r="J38" i="3"/>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AB26" i="2"/>
  <c r="X24" i="3"/>
  <c r="X8" i="3"/>
  <c r="R32" i="3"/>
  <c r="L8" i="3"/>
  <c r="AJ40" i="3"/>
  <c r="AD32" i="3"/>
  <c r="AJ8" i="3"/>
  <c r="L16" i="3"/>
  <c r="L32" i="3"/>
  <c r="X16" i="3"/>
  <c r="AD24" i="3"/>
  <c r="M16" i="2"/>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A26" i="2" l="1"/>
  <c r="P18" i="4" s="1"/>
  <c r="AB27" i="2"/>
  <c r="AB23" i="2"/>
  <c r="AA23" i="2" s="1"/>
  <c r="AM17" i="4" s="1"/>
  <c r="AB16" i="2"/>
  <c r="AB17" i="2" s="1"/>
  <c r="AC21" i="2"/>
  <c r="J47" i="4"/>
  <c r="AH27" i="4"/>
  <c r="J27" i="4"/>
  <c r="AB37" i="4"/>
  <c r="AB27" i="4"/>
  <c r="AB17" i="4"/>
  <c r="V47" i="4"/>
  <c r="V37" i="4"/>
  <c r="P27" i="4"/>
  <c r="P47" i="4"/>
  <c r="AH37" i="4"/>
  <c r="V27" i="4"/>
  <c r="AH7" i="4"/>
  <c r="AH17" i="4"/>
  <c r="AB47" i="4"/>
  <c r="P17" i="4"/>
  <c r="J17" i="4"/>
  <c r="J37" i="4"/>
  <c r="V17" i="4"/>
  <c r="J7" i="4"/>
  <c r="P37" i="4"/>
  <c r="P7" i="4"/>
  <c r="AH47" i="4"/>
  <c r="AB7" i="4"/>
  <c r="V7" i="4"/>
  <c r="AC26" i="2"/>
  <c r="J18" i="4"/>
  <c r="V48" i="4"/>
  <c r="J8" i="4"/>
  <c r="V18" i="4"/>
  <c r="V28" i="4"/>
  <c r="P48" i="4"/>
  <c r="AH18" i="4"/>
  <c r="AB8" i="4"/>
  <c r="AB18" i="4"/>
  <c r="V8" i="4"/>
  <c r="AH38" i="4"/>
  <c r="P8" i="4"/>
  <c r="AB38" i="4"/>
  <c r="J38" i="4"/>
  <c r="AH28" i="4"/>
  <c r="AB28" i="4"/>
  <c r="AB48" i="4"/>
  <c r="AH8" i="4"/>
  <c r="J48" i="4"/>
  <c r="V38" i="4"/>
  <c r="P38" i="4"/>
  <c r="J28" i="4"/>
  <c r="AH48" i="4"/>
  <c r="P28" i="4"/>
  <c r="AC22" i="2"/>
  <c r="T27" i="4"/>
  <c r="AF7" i="4"/>
  <c r="T37" i="4"/>
  <c r="Z27" i="4"/>
  <c r="N7" i="4"/>
  <c r="Z7" i="4"/>
  <c r="AF37" i="4"/>
  <c r="AL27" i="4"/>
  <c r="N37" i="4"/>
  <c r="N17" i="4"/>
  <c r="AF27" i="4"/>
  <c r="Z47" i="4"/>
  <c r="AL17" i="4"/>
  <c r="AL7" i="4"/>
  <c r="Z17" i="4"/>
  <c r="AF47" i="4"/>
  <c r="N27" i="4"/>
  <c r="AL47" i="4"/>
  <c r="T47" i="4"/>
  <c r="Z37" i="4"/>
  <c r="AL37" i="4"/>
  <c r="N47" i="4"/>
  <c r="T17" i="4"/>
  <c r="AF17" i="4"/>
  <c r="T7" i="4"/>
  <c r="AA27" i="2" l="1"/>
  <c r="AB28" i="2"/>
  <c r="AA28" i="2" s="1"/>
  <c r="U47" i="4"/>
  <c r="U37" i="4"/>
  <c r="AC23" i="2"/>
  <c r="AD21" i="2" s="1"/>
  <c r="AG37" i="4"/>
  <c r="U17" i="4"/>
  <c r="AA7" i="4"/>
  <c r="AM37" i="4"/>
  <c r="AA37" i="4"/>
  <c r="U7" i="4"/>
  <c r="AG17" i="4"/>
  <c r="AG27" i="4"/>
  <c r="AM27" i="4"/>
  <c r="O17" i="4"/>
  <c r="O47" i="4"/>
  <c r="AA47" i="4"/>
  <c r="O27" i="4"/>
  <c r="AG47" i="4"/>
  <c r="AG7" i="4"/>
  <c r="AA27" i="4"/>
  <c r="AM47" i="4"/>
  <c r="U27" i="4"/>
  <c r="O7" i="4"/>
  <c r="AA17" i="4"/>
  <c r="O37" i="4"/>
  <c r="AM7" i="4"/>
  <c r="AA17" i="2"/>
  <c r="AC17" i="2" s="1"/>
  <c r="AB18" i="2"/>
  <c r="AA18" i="2" s="1"/>
  <c r="AA16" i="2"/>
  <c r="AC28" i="2" l="1"/>
  <c r="R18" i="4"/>
  <c r="AJ18" i="4"/>
  <c r="L8" i="4"/>
  <c r="X28" i="4"/>
  <c r="AD38" i="4"/>
  <c r="AJ48" i="4"/>
  <c r="X48" i="4"/>
  <c r="R48" i="4"/>
  <c r="AD18" i="4"/>
  <c r="X8" i="4"/>
  <c r="AJ8" i="4"/>
  <c r="L48" i="4"/>
  <c r="X18" i="4"/>
  <c r="L28" i="4"/>
  <c r="L38" i="4"/>
  <c r="R8" i="4"/>
  <c r="X38" i="4"/>
  <c r="AJ38" i="4"/>
  <c r="R28" i="4"/>
  <c r="L18" i="4"/>
  <c r="AD48" i="4"/>
  <c r="R38" i="4"/>
  <c r="AJ28" i="4"/>
  <c r="AD28" i="4"/>
  <c r="AD8" i="4"/>
  <c r="AC27" i="2"/>
  <c r="Q38" i="4"/>
  <c r="Q48" i="4"/>
  <c r="AC48" i="4"/>
  <c r="Q8" i="4"/>
  <c r="AI38" i="4"/>
  <c r="K28" i="4"/>
  <c r="AC38" i="4"/>
  <c r="Q28" i="4"/>
  <c r="Q18" i="4"/>
  <c r="AI48" i="4"/>
  <c r="AI28" i="4"/>
  <c r="K8" i="4"/>
  <c r="K18" i="4"/>
  <c r="W18" i="4"/>
  <c r="AC8" i="4"/>
  <c r="W28" i="4"/>
  <c r="AC28" i="4"/>
  <c r="W8" i="4"/>
  <c r="AI8" i="4"/>
  <c r="K48" i="4"/>
  <c r="AI18" i="4"/>
  <c r="K38" i="4"/>
  <c r="AC18" i="4"/>
  <c r="W48" i="4"/>
  <c r="W38" i="4"/>
  <c r="K26" i="4"/>
  <c r="Q6" i="4"/>
  <c r="AC26" i="4"/>
  <c r="AI26" i="4"/>
  <c r="W6" i="4"/>
  <c r="AC6" i="4"/>
  <c r="K46" i="4"/>
  <c r="W46" i="4"/>
  <c r="AC46" i="4"/>
  <c r="W16" i="4"/>
  <c r="AI6" i="4"/>
  <c r="K16" i="4"/>
  <c r="K36" i="4"/>
  <c r="AI16" i="4"/>
  <c r="Q16" i="4"/>
  <c r="W26" i="4"/>
  <c r="AC16" i="4"/>
  <c r="Q46" i="4"/>
  <c r="Q36" i="4"/>
  <c r="W36" i="4"/>
  <c r="AC36" i="4"/>
  <c r="K6" i="4"/>
  <c r="AI36" i="4"/>
  <c r="Q26" i="4"/>
  <c r="AI46" i="4"/>
  <c r="AC18" i="2"/>
  <c r="R6" i="4"/>
  <c r="R36" i="4"/>
  <c r="X46" i="4"/>
  <c r="R46" i="4"/>
  <c r="AJ6" i="4"/>
  <c r="AD16" i="4"/>
  <c r="R26" i="4"/>
  <c r="AD46" i="4"/>
  <c r="X6" i="4"/>
  <c r="AD6" i="4"/>
  <c r="AD36" i="4"/>
  <c r="L16" i="4"/>
  <c r="R16" i="4"/>
  <c r="L26" i="4"/>
  <c r="L6" i="4"/>
  <c r="AJ16" i="4"/>
  <c r="X16" i="4"/>
  <c r="L36" i="4"/>
  <c r="AJ46" i="4"/>
  <c r="X26" i="4"/>
  <c r="L46" i="4"/>
  <c r="AJ36" i="4"/>
  <c r="X36" i="4"/>
  <c r="AJ26" i="4"/>
  <c r="AD26" i="4"/>
  <c r="V16" i="4"/>
  <c r="J46" i="4"/>
  <c r="J16" i="4"/>
  <c r="AB6" i="4"/>
  <c r="AC16" i="2"/>
  <c r="P46" i="4"/>
  <c r="AH36" i="4"/>
  <c r="V36" i="4"/>
  <c r="AB26" i="4"/>
  <c r="P6" i="4"/>
  <c r="AB46" i="4"/>
  <c r="P36" i="4"/>
  <c r="AH26" i="4"/>
  <c r="V6" i="4"/>
  <c r="J36" i="4"/>
  <c r="V46" i="4"/>
  <c r="J6" i="4"/>
  <c r="J26" i="4"/>
  <c r="P26" i="4"/>
  <c r="AH16" i="4"/>
  <c r="AH46" i="4"/>
  <c r="AB36" i="4"/>
  <c r="V26" i="4"/>
  <c r="AH6" i="4"/>
  <c r="P16" i="4"/>
  <c r="AB16" i="4"/>
  <c r="AD26" i="2" l="1"/>
  <c r="AD16" i="2"/>
</calcChain>
</file>

<file path=xl/sharedStrings.xml><?xml version="1.0" encoding="utf-8"?>
<sst xmlns="http://schemas.openxmlformats.org/spreadsheetml/2006/main" count="411" uniqueCount="266">
  <si>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</si>
  <si>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</si>
  <si>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</si>
  <si>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</si>
  <si>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</si>
  <si>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</si>
  <si>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</si>
  <si>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</si>
  <si>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</si>
  <si>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</si>
  <si>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</si>
  <si>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</si>
  <si>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</si>
  <si>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</si>
  <si>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</si>
  <si>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</si>
  <si>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</si>
  <si>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</si>
  <si>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</si>
  <si>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</si>
  <si>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</si>
  <si>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</si>
  <si>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</si>
  <si>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</si>
  <si>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</si>
  <si>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</si>
  <si>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</si>
  <si>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</si>
  <si>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</si>
  <si>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</si>
  <si>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</si>
  <si>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</si>
  <si>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</si>
  <si>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</si>
  <si>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</si>
  <si>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</si>
  <si>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</si>
  <si>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</si>
  <si>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</si>
  <si>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</si>
  <si>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</si>
  <si>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</si>
  <si>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</si>
  <si>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</si>
  <si>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</si>
  <si>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</si>
  <si>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</si>
  <si>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</si>
  <si>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</si>
  <si>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</si>
  <si>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</si>
  <si>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</si>
  <si>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</si>
  <si>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</si>
  <si>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</si>
  <si>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</si>
  <si>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</si>
  <si>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</si>
  <si>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</si>
  <si>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</si>
  <si>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</si>
  <si>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</si>
  <si>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</si>
  <si>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</si>
  <si>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</si>
  <si>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</si>
  <si>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</si>
  <si>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</si>
  <si>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</si>
  <si>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</si>
  <si>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</si>
  <si>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</si>
  <si>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</si>
  <si>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</si>
  <si>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</si>
  <si>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</si>
  <si>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</si>
  <si>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</si>
  <si>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</si>
  <si>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</si>
  <si>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</si>
  <si>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</si>
  <si>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</si>
  <si>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</si>
  <si>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</si>
  <si>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</si>
  <si>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</si>
  <si>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</si>
  <si>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</si>
  <si>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</si>
  <si>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</si>
  <si>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</si>
  <si>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</si>
  <si>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</si>
  <si>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</si>
  <si>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</si>
  <si>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</si>
  <si>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</si>
  <si>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</si>
  <si>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</si>
  <si>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</si>
  <si>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</si>
  <si>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</si>
  <si>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</si>
  <si>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</si>
  <si>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</si>
  <si>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</si>
  <si>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</si>
  <si>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</si>
  <si>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</si>
  <si>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</si>
  <si>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</si>
  <si>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</si>
  <si>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</si>
  <si>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</si>
  <si>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</si>
  <si>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</si>
  <si>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</si>
  <si>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</si>
  <si>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</si>
  <si>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</si>
  <si>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</si>
  <si>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</si>
  <si>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</si>
  <si>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</si>
  <si>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</si>
  <si>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</si>
  <si>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</si>
  <si>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</si>
  <si>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</si>
  <si>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</si>
  <si>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</si>
  <si>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</si>
  <si>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</si>
  <si>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</si>
  <si>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</si>
  <si>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</si>
  <si>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</si>
  <si>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</si>
  <si>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</si>
  <si>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</si>
  <si>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</si>
  <si>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</si>
  <si>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</si>
  <si>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</si>
  <si>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</si>
  <si>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</si>
  <si>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</si>
  <si>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</si>
  <si>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</si>
  <si>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</si>
  <si>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</si>
  <si>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</si>
  <si>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</si>
  <si>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</si>
  <si>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</si>
  <si>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</si>
  <si>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</si>
  <si>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</si>
  <si>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</si>
  <si>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</si>
  <si>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</si>
  <si>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</si>
  <si>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</si>
  <si>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</si>
  <si>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</si>
  <si>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</si>
  <si>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</si>
  <si>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</si>
  <si>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</si>
  <si>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</si>
  <si>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</si>
  <si>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</si>
  <si>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</si>
  <si>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</si>
  <si>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</si>
  <si>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</si>
  <si>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</si>
  <si>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</si>
  <si>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</si>
  <si>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</si>
  <si>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</si>
  <si>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</si>
  <si>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</si>
  <si>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</si>
  <si>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</si>
  <si>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</si>
  <si>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</si>
  <si>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</si>
  <si>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</si>
  <si>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</si>
  <si>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</si>
  <si>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</si>
  <si>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</si>
  <si>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</si>
  <si>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</si>
  <si>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</si>
  <si>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</si>
  <si>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</si>
  <si>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</si>
  <si>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</si>
  <si>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</si>
  <si>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</si>
  <si>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</si>
  <si>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</si>
  <si>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</si>
  <si>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</si>
  <si>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</si>
  <si>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</si>
  <si>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</si>
  <si>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</si>
  <si>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</si>
  <si>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</si>
  <si>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</si>
  <si>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</si>
  <si>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</si>
  <si>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</si>
  <si>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</si>
  <si>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</si>
  <si>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</si>
  <si>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</si>
  <si>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</si>
  <si>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</si>
  <si>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</si>
  <si>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</si>
  <si>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</si>
  <si>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</si>
  <si>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</si>
  <si>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</si>
  <si>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</si>
  <si>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</si>
  <si>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</si>
  <si>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</si>
  <si>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</si>
  <si>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</si>
  <si>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</si>
  <si>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</si>
  <si>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</si>
  <si>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</si>
  <si>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</si>
  <si>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</si>
  <si>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</si>
  <si>
    <t>GESTIÓN JURÍDICA</t>
  </si>
  <si>
    <t xml:space="preserve">Gestionar la defensa jurídica y mejora normativa del Municipio de Pasto brindando los lineamientos generales para la prevención del daño antijuridico, la evaluación del riesgo, la adopción e implementación de herramientas y buenas prácticas regulatorias, con el fin de lograr la disminución de demandas interpuestas en contra de la entidad, la reducción de condenas y el pago de las mismas, reducir el daño antijurídico, mejorar la defensa y recuperar los fondos y para que las normas de carácter general expedidas por la administración municipal, revistan de parámetros de calidad técnica y jurídica y resulten eficaces, eficientes, transparentes, coherentes y simples.    
</t>
  </si>
  <si>
    <t xml:space="preserve">Inicia con la radicación de las peticiones, quejas, reclamos, denuncias, querellas, proyectos de actos administrativos, solicitudes de actas de nacionalización, posesión de jueces, informes, actas, admisión de demandas, solicitudes de conciliación, entre otros. Encaminadas a la prevención del daño antijurídico a través de la implementación de las actuaciones prejudiciales, defensa judicial, cumplimiento y pago de sentencias, acciones de repetición y recuperación del recursos públicos bajo parámetros de calidad técnica y jurídica; hasta la decisión, acto administrativo, actuación prejudicial, judicial, fallo de primera o segunda instancia en cumplimiento de las decisiones judiciales, pago de costas, acto administrativo de reconocimiento y pago de sentencias o conciliaciones, acuerdo de pago, certificado del comité de conciliación, acción de repetición, concepto jurídico, circular, respuesta,  posesión, actas de nacionalización, según el caso.
APLICA PARA: Defensa extrajudicial; defensa judicial (acciones constitucionales de tutela, instauración de denuncias o querellas), cumplimiento de sentencias; cobro de costas; acciones de repetición; ciclo de gobernanza regulatoria (consulta pública, revisión de documentos y actos administrativos, planeación de agenda regulatoria, unidad técnica de mejora regulatoria) solicitudes. 
</t>
  </si>
  <si>
    <t>Inapropiada revisión de los términos procesales</t>
  </si>
  <si>
    <t>Incumplimiento de términos de las etapas procesales previstas, contabilización de términos errónea, notificaciones indebidas, Inadecuada, debil o inoportuna defensa del Municipio de Pasto</t>
  </si>
  <si>
    <t>Posibilidad de pérdida reputacional y económica, investigaciones y sanciones de la Oficina de Control Interno Disciplinario y de entes de control, debido al incumplimiento de términos de las etapas procesales, Inadecuada, argumentaciòn insuficiente debil o inoportuna defensa del Municipio de Pasto, previstas en la ley 1437 de 2011 (CPACA), ley 1564 de  2012 (CGP), decreto ley  2158 de  1948 (CPTS), ley 906 de 2004 (CPP) y demás normas concordantes, contabilización de términos errónea, notificaciones indebidas, que conllevarían a fallos desfavorables en procesos judiciales.</t>
  </si>
  <si>
    <t xml:space="preserve">Los apoderados judiciales y el dependiente judicial realizan revisión diaria de los procesos judiciales y sus actuaciones, contabilización de términos, registro del ultimo plazo para dar tramite al requerimiento, fijación de términos dispuestos en la normatividad vigente en el calendario de los despachos judiciales, los procesos judiciales y sus actuaciones, a traves de ESTADOS ELECTRONICOS, de la plataforma Samai o Pagina de la Rama Judicial </t>
  </si>
  <si>
    <t>El dependiente judicial revisa diariamente la página de la rama judicial, del Consejo de Estado y el correo electrónico de la OAJD, las comunicaciones allegadas por los juzgados, las imprime y notifica al apoderado judicial de la actuación presentada, a su vez las notifica a través del correo electrónico a los apoderados, y se lleva el control físico de las actuaciones mediante el diligenciamiento de  de las actuaciones en la AGENDA ELECTRONICA en google calendario.</t>
  </si>
  <si>
    <t>Jefe Oficina Jurídica de Despacho</t>
  </si>
  <si>
    <t xml:space="preserve">Realizar un analisis de impacto referente al incumplimiento del termino judicial y deberá adelantar un plan especifico para el proceso, en el cual se detalle si existe o no posibilidad de desarrollar acciones correctivas frente al proceso. </t>
  </si>
  <si>
    <t>Deficiente, indebida o falta de recepción de las PQRSD</t>
  </si>
  <si>
    <t>Inoportuna asignaciòn a los abogados las diversas PQRSD, Incumplimiento de términos en la contestación de PQRD, solicitudes y requerimientos o informes de entes de control</t>
  </si>
  <si>
    <t>Posibilidad de pérdida reputacion por incumplimiento en los términos de contestación de PQRD, inoportuna gestión o negligencia a solicitudes y requerimientos o informes de entes de control que conllevarían a fallos desfavorables en procesos judiciales.</t>
  </si>
  <si>
    <t xml:space="preserve">Ineficaz estudio de los actos administrativos </t>
  </si>
  <si>
    <t>Deficiente revisión de los actos administrativos a suscribir por el señor alcalde que conllevarían a posteriores demandas en contra del Municipio de Pasto.</t>
  </si>
  <si>
    <t xml:space="preserve">Posibilidad de pérdida reputacional y economicas por investigaciones y sanciones de la Oficina de Control Interno Disciplinario y de entes de control, debido a la inadecuada revisión de los actos administrativos a suscribir por el señor Alcalde que conllevarían a posteriores demandas en contra del Municipio de Pasto </t>
  </si>
  <si>
    <t>Realizar un analisis en cuanto a la normatividad que se aplicó en el acto administrativo y se deberá realizar una actualización en cuanto a la normatividad aplicable</t>
  </si>
  <si>
    <t>BIMENSUAL</t>
  </si>
  <si>
    <t>CUATRIMESTRAL</t>
  </si>
  <si>
    <t xml:space="preserve">El dependiente judicial y/o contratista de la OAJD realizan el seguimiento y actualización de las actuaciones registradas, términos y audiencias llevadas a cabo en cada proceso judicial mediante el diligenciamiento de la MATRIZ DE CONTROL DE PROCESOS JUDICIALES de google drive, de manera diaria o cada vez que se allegue un asunto que conlleve a la actualización de la misma. </t>
  </si>
  <si>
    <t>El/ la contratista radica diariamente en MATRIZ DE PQRD - Google Drive , los asuntos que requieran contestación o tramite en la OAJD y entrarán a reparto para ser asignadas al servidor público (funcionario o contratista) de la OAJD que tenga la función y/o obligación de proyectar respuesta o dar tramite al requerimiento, solicitud o PQRD, realizá la contabilización de términos para revisión y/o diligenciamiento de los diferentes asuntos a tramitar, para lo cual registra la fecha en que se allega la solicitud a la OAJD y la fecha de absolverse el asunto en la matriz PQRD. En caso de algún cambio referente al estado de la PQRD, solicitud e informe registra en la matriz en mención.</t>
  </si>
  <si>
    <t xml:space="preserve">La jefe de la OAJD realiza constante supervisión de actividades y funciones al servidor público (funcionario o contratista) de la oficina, referente a la respuesta de PQRD, solicitudes e informes o requerimientos de entes de control dentro del término legal vigente, mediante la REVISIÓN Y POSTERIOR SUSCRIPCIÓN DE FIRMA en el respectivo oficio de remisión y mediante informes de actividades de manera mensual </t>
  </si>
  <si>
    <t xml:space="preserve">El/ la contratista radica en MATRIZ PQRD - Google Drive, los actos administrativos que requieren revisiòn y entrarán a reparto para ser asignadas al servidor público (funcionario o contratista) de la OAJD que tenga la función y/o obligación de la revisión, en la matriz en mención se registra la fecha en la cual se allegó a la OAJD para su revisión, el estado de la respuesta el cual puede ser  "en revisión" "devuelto a la dependencia"  "se pasa visto bueno para firma" y la fecha de la respuesta , siempre que exista requerimiento o solicitud de revisión de alguna dependencia abscrita a la Alcaldia Municipal de Pasto.  </t>
  </si>
  <si>
    <t xml:space="preserve">El funcionario o contratista de la OAJD suscribe su firma en el proyecto de acto administrativo y remite el mismo para revisión del jefe la OAJD, quien también realiza la respectiva revisión del proyecto de acto administrativo y suscribe la firma y se procede a la firma del señor Alcalde, se registra el documento en el libro de registro, donde deja constancia del asunto del acto administrativo y se remite el mismo a la oficina del despacho, donde se enumera y emite de manera formal el acto administrativo para su publicación y/o comunicación. LIBRO RADICADOR DE SALIDA, siempre que exista acto administrativo que se requiera para su  radicación.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</si>
</sst>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69"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ont>
    <font>
      <b/>
      <sz val="11"/>
      <color theme="1"/>
      <name val="Arial Narrow"/>
    </font>
    <font>
      <sz val="14"/>
      <color theme="1"/>
      <name val="Century Gothic"/>
      <family val="2"/>
    </font>
    <font>
      <sz val="10"/>
      <color theme="1"/>
      <name val="Century Gothic"/>
      <family val="2"/>
    </font>
    <font>
      <sz val="14"/>
      <color theme="1"/>
      <name val="Arial Narrow"/>
    </font>
    <font>
      <sz val="11"/>
      <name val="Calibri"/>
    </font>
    <font>
      <sz val="11"/>
      <color theme="1"/>
      <name val="Century Gothic"/>
    </font>
  </fonts>
  <fills count="18">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
      <patternFill patternType="solid">
        <fgColor theme="0"/>
        <bgColor indexed="64"/>
      </patternFill>
    </fill>
  </fills>
  <borders count="132">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style="dotted">
        <color rgb="FFE36C09"/>
      </bottom>
      <diagonal/>
    </border>
    <border>
      <left/>
      <right style="dotted">
        <color rgb="FFE36C09"/>
      </right>
      <top/>
      <bottom style="dotted">
        <color rgb="FFE36C09"/>
      </bottom>
      <diagonal/>
    </border>
    <border>
      <left/>
      <right style="thin">
        <color indexed="64"/>
      </right>
      <top style="thin">
        <color indexed="64"/>
      </top>
      <bottom style="thin">
        <color indexed="64"/>
      </bottom>
      <diagonal/>
    </border>
  </borders>
  <cellStyleXfs count="1">
    <xf numFmtId="0" fontId="0" fillId="0" borderId="0"/>
  </cellStyleXfs>
  <cellXfs count="344">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52" fillId="0" borderId="103" xfId="0" applyFont="1" applyBorder="1" applyAlignment="1" applyProtection="1">
      <alignment horizontal="center" vertical="center"/>
      <protection locked="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3" fillId="0" borderId="121"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protection locked="0"/>
    </xf>
    <xf numFmtId="0" fontId="63" fillId="0" borderId="121" xfId="0" applyFont="1" applyBorder="1" applyAlignment="1">
      <alignment horizontal="center" vertical="center" textRotation="90"/>
    </xf>
    <xf numFmtId="0" fontId="51" fillId="0" borderId="123" xfId="0" applyFont="1" applyBorder="1" applyAlignment="1" applyProtection="1">
      <alignment vertical="center" wrapText="1"/>
      <protection locked="0"/>
    </xf>
    <xf numFmtId="9" fontId="51" fillId="0" borderId="123" xfId="0" applyNumberFormat="1" applyFont="1" applyBorder="1" applyAlignment="1" applyProtection="1">
      <alignment vertical="center" wrapText="1"/>
      <protection locked="0"/>
    </xf>
    <xf numFmtId="9" fontId="51" fillId="0" borderId="123" xfId="0" applyNumberFormat="1" applyFont="1" applyBorder="1" applyAlignment="1">
      <alignment vertical="center" wrapText="1"/>
    </xf>
    <xf numFmtId="0" fontId="50" fillId="0" borderId="123" xfId="0" applyFont="1" applyBorder="1" applyAlignment="1">
      <alignment vertical="center" wrapText="1"/>
    </xf>
    <xf numFmtId="0" fontId="50" fillId="0" borderId="123" xfId="0" applyFont="1" applyBorder="1" applyAlignment="1">
      <alignment vertical="center"/>
    </xf>
    <xf numFmtId="0" fontId="51" fillId="0" borderId="123" xfId="0" applyFont="1" applyBorder="1" applyAlignment="1" applyProtection="1">
      <alignment vertical="center"/>
      <protection locked="0"/>
    </xf>
    <xf numFmtId="0" fontId="65" fillId="0" borderId="129" xfId="0" applyFont="1" applyBorder="1" applyAlignment="1" applyProtection="1">
      <alignment horizontal="left" vertical="center" wrapText="1"/>
      <protection locked="0"/>
    </xf>
    <xf numFmtId="0" fontId="51" fillId="0" borderId="129" xfId="0" applyFont="1" applyBorder="1" applyAlignment="1" applyProtection="1">
      <alignment horizontal="center" vertical="center" textRotation="90"/>
      <protection locked="0"/>
    </xf>
    <xf numFmtId="14" fontId="51" fillId="17" borderId="103" xfId="0" applyNumberFormat="1" applyFont="1" applyFill="1" applyBorder="1" applyAlignment="1" applyProtection="1">
      <alignment horizontal="center" vertical="center"/>
      <protection locked="0"/>
    </xf>
    <xf numFmtId="0" fontId="51" fillId="17" borderId="103" xfId="0" applyFont="1" applyFill="1" applyBorder="1" applyAlignment="1" applyProtection="1">
      <alignment horizontal="center" vertical="center" wrapText="1"/>
      <protection locked="0"/>
    </xf>
    <xf numFmtId="165" fontId="62" fillId="17" borderId="103" xfId="0" applyNumberFormat="1" applyFont="1" applyFill="1" applyBorder="1" applyAlignment="1" applyProtection="1">
      <alignment horizontal="center" vertical="center"/>
      <protection locked="0"/>
    </xf>
    <xf numFmtId="0" fontId="68" fillId="17" borderId="103" xfId="0" applyFont="1" applyFill="1" applyBorder="1" applyAlignment="1" applyProtection="1">
      <alignment horizontal="center" vertical="center" wrapText="1"/>
      <protection locked="0"/>
    </xf>
    <xf numFmtId="165" fontId="62" fillId="17" borderId="130" xfId="0" applyNumberFormat="1" applyFont="1" applyFill="1" applyBorder="1" applyAlignment="1" applyProtection="1">
      <alignment horizontal="center" vertical="center"/>
      <protection locked="0"/>
    </xf>
    <xf numFmtId="165" fontId="62" fillId="17" borderId="131" xfId="0" applyNumberFormat="1" applyFont="1" applyFill="1" applyBorder="1" applyAlignment="1" applyProtection="1">
      <alignment horizontal="center" vertical="center"/>
      <protection locked="0"/>
    </xf>
    <xf numFmtId="0" fontId="51" fillId="0" borderId="0" xfId="0" applyFont="1" applyAlignment="1" applyProtection="1">
      <alignment horizontal="center" vertical="center" wrapText="1"/>
      <protection locked="0"/>
    </xf>
    <xf numFmtId="165" fontId="6" fillId="0" borderId="124" xfId="0" applyNumberFormat="1" applyFont="1" applyBorder="1" applyAlignment="1" applyProtection="1">
      <alignment horizontal="center" vertical="center"/>
      <protection locked="0"/>
    </xf>
    <xf numFmtId="165" fontId="6" fillId="0" borderId="103" xfId="0" applyNumberFormat="1" applyFont="1" applyBorder="1" applyAlignment="1" applyProtection="1">
      <alignment horizontal="center" vertical="center"/>
      <protection locked="0"/>
    </xf>
    <xf numFmtId="165" fontId="6" fillId="0" borderId="130" xfId="0" applyNumberFormat="1" applyFont="1" applyBorder="1" applyAlignment="1" applyProtection="1">
      <alignment horizontal="center" vertical="center"/>
      <protection locked="0"/>
    </xf>
    <xf numFmtId="0" fontId="51" fillId="0" borderId="123" xfId="0" applyFont="1" applyBorder="1" applyAlignment="1" applyProtection="1">
      <alignment horizontal="center" vertical="center" textRotation="90"/>
      <protection locked="0"/>
    </xf>
    <xf numFmtId="0" fontId="51" fillId="0" borderId="125"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9" fontId="51" fillId="0" borderId="103" xfId="0" applyNumberFormat="1"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9" fontId="51" fillId="0" borderId="103" xfId="0" applyNumberFormat="1" applyFont="1" applyBorder="1" applyAlignment="1">
      <alignment horizontal="center" vertical="center" wrapText="1"/>
    </xf>
    <xf numFmtId="0" fontId="52" fillId="0" borderId="103" xfId="0" applyFont="1" applyBorder="1" applyAlignment="1">
      <alignment horizontal="center" vertical="center"/>
    </xf>
    <xf numFmtId="0" fontId="50" fillId="0" borderId="103" xfId="0" applyFont="1" applyBorder="1" applyAlignment="1">
      <alignment horizontal="center" vertical="center" wrapText="1"/>
    </xf>
    <xf numFmtId="0" fontId="50" fillId="0" borderId="103" xfId="0" applyFont="1" applyBorder="1" applyAlignment="1">
      <alignment horizontal="center" vertical="center"/>
    </xf>
    <xf numFmtId="0" fontId="51" fillId="0" borderId="103" xfId="0" applyFont="1" applyBorder="1" applyAlignment="1" applyProtection="1">
      <alignment horizontal="center" vertical="center"/>
      <protection locked="0"/>
    </xf>
    <xf numFmtId="0" fontId="51" fillId="0" borderId="123" xfId="0" applyFont="1" applyBorder="1" applyAlignment="1" applyProtection="1">
      <alignment horizontal="center" vertical="center" wrapText="1"/>
      <protection locked="0"/>
    </xf>
    <xf numFmtId="0" fontId="51" fillId="0" borderId="125"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wrapText="1"/>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64" fillId="2" borderId="126" xfId="0" applyFont="1" applyFill="1" applyBorder="1" applyAlignment="1" applyProtection="1">
      <alignment horizontal="left" vertical="center"/>
      <protection locked="0"/>
    </xf>
    <xf numFmtId="0" fontId="52" fillId="0" borderId="127" xfId="0" applyFont="1" applyBorder="1" applyProtection="1">
      <protection locked="0"/>
    </xf>
    <xf numFmtId="0" fontId="52" fillId="0" borderId="128" xfId="0" applyFont="1" applyBorder="1" applyProtection="1">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66" fillId="2" borderId="126" xfId="0" applyFont="1" applyFill="1" applyBorder="1" applyAlignment="1" applyProtection="1">
      <alignment horizontal="left" vertical="center" wrapText="1"/>
      <protection locked="0"/>
    </xf>
    <xf numFmtId="0" fontId="67" fillId="0" borderId="127" xfId="0" applyFont="1" applyBorder="1" applyProtection="1">
      <protection locked="0"/>
    </xf>
    <xf numFmtId="0" fontId="67" fillId="0" borderId="128" xfId="0" applyFont="1" applyBorder="1" applyProtection="1">
      <protection locked="0"/>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xf>
    <xf numFmtId="0" fontId="50" fillId="4" borderId="103" xfId="0" applyFont="1" applyFill="1" applyBorder="1" applyAlignment="1">
      <alignment horizontal="center" vertical="center" textRotation="90" wrapText="1"/>
    </xf>
    <xf numFmtId="0" fontId="51" fillId="0" borderId="123" xfId="0" applyFont="1" applyBorder="1" applyAlignment="1" applyProtection="1">
      <alignment horizontal="center" vertical="center"/>
      <protection locked="0"/>
    </xf>
    <xf numFmtId="0" fontId="51" fillId="0" borderId="125"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63" fillId="0" borderId="52" xfId="0" applyFont="1" applyBorder="1" applyAlignment="1">
      <alignment horizontal="center" vertical="center" textRotation="90" wrapText="1"/>
    </xf>
    <xf numFmtId="0" fontId="63" fillId="0" borderId="120" xfId="0" applyFont="1" applyBorder="1" applyAlignment="1">
      <alignment horizontal="center" vertical="center" textRotation="90"/>
    </xf>
    <xf numFmtId="0" fontId="63" fillId="0" borderId="121" xfId="0" applyFont="1" applyBorder="1" applyAlignment="1">
      <alignment horizontal="center" vertical="center" textRotation="90"/>
    </xf>
    <xf numFmtId="0" fontId="63" fillId="0" borderId="122" xfId="0" applyFont="1" applyBorder="1" applyAlignment="1">
      <alignment horizontal="center" vertical="center" textRotation="90"/>
    </xf>
    <xf numFmtId="0" fontId="50" fillId="4" borderId="123" xfId="0" applyFont="1" applyFill="1" applyBorder="1" applyAlignment="1">
      <alignment horizontal="center" vertical="center" textRotation="90" wrapText="1"/>
    </xf>
    <xf numFmtId="0" fontId="50" fillId="4" borderId="124" xfId="0" applyFont="1" applyFill="1" applyBorder="1" applyAlignment="1">
      <alignment horizontal="center" vertical="center" textRotation="90" wrapText="1"/>
    </xf>
    <xf numFmtId="0" fontId="51" fillId="0" borderId="10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6" fillId="7" borderId="45" xfId="0" applyFont="1" applyFill="1" applyBorder="1" applyAlignment="1">
      <alignment horizontal="center" vertical="center" wrapText="1" readingOrder="1"/>
    </xf>
    <xf numFmtId="0" fontId="3" fillId="0" borderId="53" xfId="0" applyFont="1" applyBorder="1"/>
    <xf numFmtId="0" fontId="3" fillId="0" borderId="50" xfId="0" applyFont="1" applyBorder="1"/>
    <xf numFmtId="0" fontId="3" fillId="0" borderId="63" xfId="0" applyFont="1" applyBorder="1"/>
    <xf numFmtId="0" fontId="16" fillId="8" borderId="66" xfId="0" applyFont="1" applyFill="1" applyBorder="1" applyAlignment="1">
      <alignment horizontal="center" wrapText="1" readingOrder="1"/>
    </xf>
    <xf numFmtId="0" fontId="3" fillId="0" borderId="47" xfId="0" applyFont="1" applyBorder="1"/>
    <xf numFmtId="0" fontId="3" fillId="0" borderId="62" xfId="0" applyFont="1" applyBorder="1"/>
    <xf numFmtId="0" fontId="3" fillId="0" borderId="52" xfId="0" applyFont="1" applyBorder="1"/>
    <xf numFmtId="0" fontId="16" fillId="8" borderId="45" xfId="0" applyFont="1" applyFill="1" applyBorder="1" applyAlignment="1">
      <alignment horizontal="center" wrapText="1" readingOrder="1"/>
    </xf>
    <xf numFmtId="0" fontId="16" fillId="7" borderId="54" xfId="0" applyFont="1" applyFill="1" applyBorder="1" applyAlignment="1">
      <alignment horizontal="center" vertical="center" wrapText="1" readingOrder="1"/>
    </xf>
    <xf numFmtId="0" fontId="3" fillId="0" borderId="57" xfId="0" applyFont="1" applyBorder="1"/>
    <xf numFmtId="0" fontId="16" fillId="7" borderId="58" xfId="0" applyFont="1" applyFill="1" applyBorder="1" applyAlignment="1">
      <alignment horizontal="center" vertical="center" wrapText="1" readingOrder="1"/>
    </xf>
    <xf numFmtId="0" fontId="16" fillId="7" borderId="66"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3" fillId="0" borderId="67" xfId="0" applyFont="1" applyBorder="1"/>
    <xf numFmtId="0" fontId="3" fillId="0" borderId="70" xfId="0" applyFont="1" applyBorder="1"/>
    <xf numFmtId="0" fontId="3" fillId="0" borderId="71" xfId="0" applyFont="1" applyBorder="1"/>
    <xf numFmtId="0" fontId="3" fillId="0" borderId="69" xfId="0" applyFont="1" applyBorder="1"/>
    <xf numFmtId="0" fontId="16" fillId="9" borderId="58" xfId="0" applyFont="1" applyFill="1" applyBorder="1" applyAlignment="1">
      <alignment horizontal="center" wrapText="1" readingOrder="1"/>
    </xf>
    <xf numFmtId="0" fontId="3" fillId="0" borderId="56" xfId="0" applyFont="1" applyBorder="1"/>
    <xf numFmtId="0" fontId="16" fillId="9" borderId="54" xfId="0" applyFont="1" applyFill="1" applyBorder="1" applyAlignment="1">
      <alignment horizontal="center" wrapText="1" readingOrder="1"/>
    </xf>
    <xf numFmtId="0" fontId="16" fillId="8" borderId="54"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66" xfId="0" applyFont="1" applyFill="1" applyBorder="1" applyAlignment="1">
      <alignment horizontal="center" wrapText="1" readingOrder="1"/>
    </xf>
    <xf numFmtId="0" fontId="17" fillId="10"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7" fillId="8" borderId="59" xfId="0" applyFont="1" applyFill="1" applyBorder="1" applyAlignment="1">
      <alignment horizontal="center" vertic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8" xfId="0" applyFont="1" applyBorder="1"/>
    <xf numFmtId="0" fontId="16" fillId="10"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6" fillId="10" borderId="58"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9" fillId="0" borderId="54"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cellXfs>
  <cellStyles count="1">
    <cellStyle name="Normal" xfId="0" builtinId="0"/>
  </cellStyles>
  <dxfs count="1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135"/>
      <tableStyleElement type="firstRowStripe" dxfId="134"/>
      <tableStyleElement type="secondRowStripe"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C%20-%20701575\Downloads\pe_f_055_mapa_riesgos_gestion_FORMULAS%20(1).xlsx" TargetMode="External"/><Relationship Id="rId1" Type="http://schemas.openxmlformats.org/officeDocument/2006/relationships/externalLinkPath" Target="/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48"/>
  <sheetViews>
    <sheetView showGridLines="0" tabSelected="1" topLeftCell="L18" zoomScale="70" zoomScaleNormal="70" workbookViewId="0">
      <selection activeCell="P27" sqref="P27"/>
    </sheetView>
  </sheetViews>
  <sheetFormatPr baseColWidth="10" defaultColWidth="12.625" defaultRowHeight="16.5" x14ac:dyDescent="0.2"/>
  <cols>
    <col min="1" max="1" width="3.5" style="103" customWidth="1"/>
    <col min="2" max="2" width="20.625" style="103" customWidth="1"/>
    <col min="3" max="4" width="26.375" style="103" customWidth="1"/>
    <col min="5" max="5" width="36.5" style="103" customWidth="1"/>
    <col min="6" max="6" width="16.62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103.3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8.375" style="103" customWidth="1"/>
    <col min="32" max="32" width="28.625" style="103" customWidth="1"/>
    <col min="33" max="33" width="16.5" style="103" customWidth="1"/>
    <col min="34" max="34" width="19.875" style="103" customWidth="1"/>
    <col min="35" max="35" width="17.875" style="103" customWidth="1"/>
    <col min="36" max="36" width="18.5" style="103" customWidth="1"/>
    <col min="37" max="37" width="18.375" style="103" customWidth="1"/>
    <col min="38" max="56" width="10" style="103" customWidth="1"/>
    <col min="57" max="16384" width="12.625" style="103"/>
  </cols>
  <sheetData>
    <row r="1" spans="1:37" ht="23.25" thickBot="1" x14ac:dyDescent="0.25">
      <c r="A1" s="145"/>
      <c r="B1" s="146"/>
      <c r="C1" s="146"/>
      <c r="D1" s="147"/>
      <c r="E1" s="154" t="s">
        <v>224</v>
      </c>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5"/>
    </row>
    <row r="2" spans="1:37" ht="24" x14ac:dyDescent="0.2">
      <c r="A2" s="148"/>
      <c r="B2" s="149"/>
      <c r="C2" s="149"/>
      <c r="D2" s="150"/>
      <c r="E2" s="156" t="s">
        <v>225</v>
      </c>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7"/>
    </row>
    <row r="3" spans="1:37" ht="23.25" thickBot="1" x14ac:dyDescent="0.25">
      <c r="A3" s="148"/>
      <c r="B3" s="149"/>
      <c r="C3" s="149"/>
      <c r="D3" s="150"/>
      <c r="E3" s="158" t="s">
        <v>221</v>
      </c>
      <c r="F3" s="158"/>
      <c r="G3" s="158"/>
      <c r="H3" s="158"/>
      <c r="I3" s="158"/>
      <c r="J3" s="158"/>
      <c r="K3" s="158"/>
      <c r="L3" s="158"/>
      <c r="M3" s="158"/>
      <c r="N3" s="159"/>
      <c r="O3" s="159"/>
      <c r="P3" s="159"/>
      <c r="Q3" s="159"/>
      <c r="R3" s="159"/>
      <c r="S3" s="159"/>
      <c r="T3" s="159"/>
      <c r="U3" s="159"/>
      <c r="V3" s="159"/>
      <c r="W3" s="159"/>
      <c r="X3" s="159"/>
      <c r="Y3" s="158"/>
      <c r="Z3" s="158"/>
      <c r="AA3" s="158"/>
      <c r="AB3" s="158"/>
      <c r="AC3" s="158"/>
      <c r="AD3" s="158"/>
      <c r="AE3" s="158"/>
      <c r="AF3" s="158"/>
      <c r="AG3" s="158"/>
      <c r="AH3" s="158"/>
      <c r="AI3" s="158"/>
      <c r="AJ3" s="158"/>
      <c r="AK3" s="160"/>
    </row>
    <row r="4" spans="1:37" x14ac:dyDescent="0.2">
      <c r="A4" s="148"/>
      <c r="B4" s="149"/>
      <c r="C4" s="149"/>
      <c r="D4" s="150"/>
      <c r="E4" s="161" t="s">
        <v>217</v>
      </c>
      <c r="F4" s="162"/>
      <c r="G4" s="162"/>
      <c r="H4" s="162"/>
      <c r="I4" s="162"/>
      <c r="J4" s="162"/>
      <c r="K4" s="162"/>
      <c r="L4" s="162"/>
      <c r="M4" s="162"/>
      <c r="N4" s="161" t="s">
        <v>218</v>
      </c>
      <c r="O4" s="162"/>
      <c r="P4" s="162"/>
      <c r="Q4" s="162"/>
      <c r="R4" s="162"/>
      <c r="S4" s="162"/>
      <c r="T4" s="162"/>
      <c r="U4" s="162"/>
      <c r="V4" s="162"/>
      <c r="W4" s="162"/>
      <c r="X4" s="165"/>
      <c r="Y4" s="162" t="s">
        <v>219</v>
      </c>
      <c r="Z4" s="162"/>
      <c r="AA4" s="162"/>
      <c r="AB4" s="162"/>
      <c r="AC4" s="162"/>
      <c r="AD4" s="162"/>
      <c r="AE4" s="162"/>
      <c r="AF4" s="162"/>
      <c r="AG4" s="165"/>
      <c r="AH4" s="161" t="s">
        <v>220</v>
      </c>
      <c r="AI4" s="162"/>
      <c r="AJ4" s="162"/>
      <c r="AK4" s="165"/>
    </row>
    <row r="5" spans="1:37" ht="18" thickBot="1" x14ac:dyDescent="0.25">
      <c r="A5" s="151"/>
      <c r="B5" s="152"/>
      <c r="C5" s="152"/>
      <c r="D5" s="153"/>
      <c r="E5" s="163">
        <v>45782</v>
      </c>
      <c r="F5" s="164"/>
      <c r="G5" s="164"/>
      <c r="H5" s="164"/>
      <c r="I5" s="164"/>
      <c r="J5" s="164"/>
      <c r="K5" s="164"/>
      <c r="L5" s="164"/>
      <c r="M5" s="164"/>
      <c r="N5" s="166" t="s">
        <v>241</v>
      </c>
      <c r="O5" s="167"/>
      <c r="P5" s="167"/>
      <c r="Q5" s="167"/>
      <c r="R5" s="167"/>
      <c r="S5" s="167"/>
      <c r="T5" s="167"/>
      <c r="U5" s="167"/>
      <c r="V5" s="167"/>
      <c r="W5" s="167"/>
      <c r="X5" s="168"/>
      <c r="Y5" s="164" t="s">
        <v>222</v>
      </c>
      <c r="Z5" s="164"/>
      <c r="AA5" s="164"/>
      <c r="AB5" s="164"/>
      <c r="AC5" s="164"/>
      <c r="AD5" s="164"/>
      <c r="AE5" s="164"/>
      <c r="AF5" s="164"/>
      <c r="AG5" s="169"/>
      <c r="AH5" s="170" t="s">
        <v>223</v>
      </c>
      <c r="AI5" s="164"/>
      <c r="AJ5" s="164"/>
      <c r="AK5" s="169"/>
    </row>
    <row r="6" spans="1:37" x14ac:dyDescent="0.3">
      <c r="AD6" s="116"/>
    </row>
    <row r="7" spans="1:37" x14ac:dyDescent="0.2">
      <c r="A7" s="182" t="s">
        <v>61</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row>
    <row r="8" spans="1:37" x14ac:dyDescent="0.2">
      <c r="A8" s="182"/>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row>
    <row r="9" spans="1:37"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ht="18" x14ac:dyDescent="0.3">
      <c r="A10" s="183" t="s">
        <v>213</v>
      </c>
      <c r="B10" s="184"/>
      <c r="C10" s="185" t="s">
        <v>242</v>
      </c>
      <c r="D10" s="186"/>
      <c r="E10" s="186"/>
      <c r="F10" s="186"/>
      <c r="G10" s="186"/>
      <c r="H10" s="186"/>
      <c r="I10" s="186"/>
      <c r="J10" s="186"/>
      <c r="K10" s="186"/>
      <c r="L10" s="186"/>
      <c r="M10" s="186"/>
      <c r="N10" s="187"/>
      <c r="O10" s="188"/>
      <c r="P10" s="189"/>
      <c r="Q10" s="190"/>
      <c r="R10" s="104"/>
      <c r="S10" s="104"/>
      <c r="T10" s="104"/>
      <c r="U10" s="104"/>
      <c r="V10" s="104"/>
      <c r="W10" s="104"/>
      <c r="X10" s="104"/>
      <c r="Y10" s="104"/>
      <c r="Z10" s="104"/>
      <c r="AA10" s="104"/>
      <c r="AB10" s="104"/>
      <c r="AC10" s="104"/>
      <c r="AD10" s="200"/>
      <c r="AE10" s="104"/>
      <c r="AF10" s="104"/>
      <c r="AG10" s="104"/>
      <c r="AH10" s="104"/>
      <c r="AI10" s="104"/>
      <c r="AJ10" s="104"/>
      <c r="AK10" s="104"/>
    </row>
    <row r="11" spans="1:37" ht="69.75" customHeight="1" x14ac:dyDescent="0.25">
      <c r="A11" s="183" t="s">
        <v>62</v>
      </c>
      <c r="B11" s="184"/>
      <c r="C11" s="191" t="s">
        <v>243</v>
      </c>
      <c r="D11" s="192"/>
      <c r="E11" s="192"/>
      <c r="F11" s="192"/>
      <c r="G11" s="192"/>
      <c r="H11" s="192"/>
      <c r="I11" s="192"/>
      <c r="J11" s="192"/>
      <c r="K11" s="192"/>
      <c r="L11" s="192"/>
      <c r="M11" s="192"/>
      <c r="N11" s="193"/>
      <c r="O11" s="104"/>
      <c r="P11" s="104"/>
      <c r="Q11" s="104"/>
      <c r="R11" s="104"/>
      <c r="S11" s="104"/>
      <c r="T11" s="104"/>
      <c r="U11" s="104"/>
      <c r="V11" s="104"/>
      <c r="W11" s="104"/>
      <c r="X11" s="104"/>
      <c r="Y11" s="104"/>
      <c r="Z11" s="104"/>
      <c r="AA11" s="104"/>
      <c r="AB11" s="104"/>
      <c r="AC11" s="104"/>
      <c r="AD11" s="200"/>
      <c r="AE11" s="104"/>
      <c r="AF11" s="104"/>
      <c r="AG11" s="104"/>
      <c r="AH11" s="104"/>
      <c r="AI11" s="104"/>
      <c r="AJ11" s="104"/>
      <c r="AK11" s="104"/>
    </row>
    <row r="12" spans="1:37" ht="88.5" customHeight="1" x14ac:dyDescent="0.25">
      <c r="A12" s="183" t="s">
        <v>63</v>
      </c>
      <c r="B12" s="184"/>
      <c r="C12" s="191" t="s">
        <v>244</v>
      </c>
      <c r="D12" s="192"/>
      <c r="E12" s="192"/>
      <c r="F12" s="192"/>
      <c r="G12" s="192"/>
      <c r="H12" s="192"/>
      <c r="I12" s="192"/>
      <c r="J12" s="192"/>
      <c r="K12" s="192"/>
      <c r="L12" s="192"/>
      <c r="M12" s="192"/>
      <c r="N12" s="193"/>
      <c r="O12" s="105"/>
      <c r="P12" s="105"/>
      <c r="Q12" s="105"/>
      <c r="R12" s="105"/>
      <c r="S12" s="105"/>
      <c r="T12" s="105"/>
      <c r="U12" s="105"/>
      <c r="V12" s="105"/>
      <c r="W12" s="105"/>
      <c r="X12" s="105"/>
      <c r="Y12" s="105"/>
      <c r="Z12" s="105"/>
      <c r="AA12" s="105"/>
      <c r="AB12" s="105"/>
      <c r="AC12" s="105"/>
      <c r="AD12" s="200"/>
      <c r="AE12" s="105"/>
      <c r="AF12" s="105"/>
      <c r="AG12" s="105"/>
      <c r="AH12" s="105"/>
      <c r="AI12" s="105"/>
      <c r="AJ12" s="105"/>
      <c r="AK12" s="105"/>
    </row>
    <row r="13" spans="1:37" s="118" customFormat="1" x14ac:dyDescent="0.2">
      <c r="A13" s="182" t="s">
        <v>64</v>
      </c>
      <c r="B13" s="174"/>
      <c r="C13" s="174"/>
      <c r="D13" s="174"/>
      <c r="E13" s="174"/>
      <c r="F13" s="174"/>
      <c r="G13" s="174"/>
      <c r="H13" s="182" t="s">
        <v>65</v>
      </c>
      <c r="I13" s="174"/>
      <c r="J13" s="174"/>
      <c r="K13" s="174"/>
      <c r="L13" s="174"/>
      <c r="M13" s="174"/>
      <c r="N13" s="174"/>
      <c r="O13" s="182" t="s">
        <v>66</v>
      </c>
      <c r="P13" s="174"/>
      <c r="Q13" s="174"/>
      <c r="R13" s="174"/>
      <c r="S13" s="174"/>
      <c r="T13" s="174"/>
      <c r="U13" s="174"/>
      <c r="V13" s="174"/>
      <c r="W13" s="174"/>
      <c r="X13" s="182" t="s">
        <v>67</v>
      </c>
      <c r="Y13" s="174"/>
      <c r="Z13" s="174"/>
      <c r="AA13" s="174"/>
      <c r="AB13" s="174"/>
      <c r="AC13" s="174"/>
      <c r="AD13" s="174"/>
      <c r="AE13" s="174"/>
      <c r="AF13" s="182" t="s">
        <v>68</v>
      </c>
      <c r="AG13" s="174"/>
      <c r="AH13" s="174"/>
      <c r="AI13" s="174"/>
      <c r="AJ13" s="174"/>
      <c r="AK13" s="174"/>
    </row>
    <row r="14" spans="1:37" s="118" customFormat="1" x14ac:dyDescent="0.2">
      <c r="A14" s="195" t="s">
        <v>69</v>
      </c>
      <c r="B14" s="182" t="s">
        <v>15</v>
      </c>
      <c r="C14" s="194" t="s">
        <v>17</v>
      </c>
      <c r="D14" s="194" t="s">
        <v>19</v>
      </c>
      <c r="E14" s="182" t="s">
        <v>21</v>
      </c>
      <c r="F14" s="194" t="s">
        <v>23</v>
      </c>
      <c r="G14" s="194" t="s">
        <v>70</v>
      </c>
      <c r="H14" s="194" t="s">
        <v>71</v>
      </c>
      <c r="I14" s="182" t="s">
        <v>72</v>
      </c>
      <c r="J14" s="194" t="s">
        <v>73</v>
      </c>
      <c r="K14" s="194" t="s">
        <v>74</v>
      </c>
      <c r="L14" s="194" t="s">
        <v>75</v>
      </c>
      <c r="M14" s="182" t="s">
        <v>72</v>
      </c>
      <c r="N14" s="194" t="s">
        <v>29</v>
      </c>
      <c r="O14" s="196" t="s">
        <v>76</v>
      </c>
      <c r="P14" s="194" t="s">
        <v>31</v>
      </c>
      <c r="Q14" s="194" t="s">
        <v>33</v>
      </c>
      <c r="R14" s="194" t="s">
        <v>77</v>
      </c>
      <c r="S14" s="174"/>
      <c r="T14" s="174"/>
      <c r="U14" s="174"/>
      <c r="V14" s="174"/>
      <c r="W14" s="174"/>
      <c r="X14" s="196" t="s">
        <v>78</v>
      </c>
      <c r="Y14" s="196" t="s">
        <v>79</v>
      </c>
      <c r="Z14" s="196" t="s">
        <v>72</v>
      </c>
      <c r="AA14" s="196" t="s">
        <v>80</v>
      </c>
      <c r="AB14" s="196" t="s">
        <v>72</v>
      </c>
      <c r="AC14" s="196" t="s">
        <v>240</v>
      </c>
      <c r="AD14" s="204" t="s">
        <v>81</v>
      </c>
      <c r="AE14" s="196" t="s">
        <v>50</v>
      </c>
      <c r="AF14" s="194" t="s">
        <v>68</v>
      </c>
      <c r="AG14" s="194" t="s">
        <v>82</v>
      </c>
      <c r="AH14" s="194" t="s">
        <v>83</v>
      </c>
      <c r="AI14" s="194" t="s">
        <v>84</v>
      </c>
      <c r="AJ14" s="194" t="s">
        <v>85</v>
      </c>
      <c r="AK14" s="194" t="s">
        <v>54</v>
      </c>
    </row>
    <row r="15" spans="1:37" s="118" customFormat="1" ht="98.25" x14ac:dyDescent="0.2">
      <c r="A15" s="174"/>
      <c r="B15" s="174"/>
      <c r="C15" s="174"/>
      <c r="D15" s="174"/>
      <c r="E15" s="174"/>
      <c r="F15" s="174"/>
      <c r="G15" s="174"/>
      <c r="H15" s="174"/>
      <c r="I15" s="174"/>
      <c r="J15" s="174"/>
      <c r="K15" s="174"/>
      <c r="L15" s="174"/>
      <c r="M15" s="174"/>
      <c r="N15" s="174"/>
      <c r="O15" s="174"/>
      <c r="P15" s="174"/>
      <c r="Q15" s="174"/>
      <c r="R15" s="119" t="s">
        <v>86</v>
      </c>
      <c r="S15" s="119" t="s">
        <v>87</v>
      </c>
      <c r="T15" s="119" t="s">
        <v>88</v>
      </c>
      <c r="U15" s="119" t="s">
        <v>89</v>
      </c>
      <c r="V15" s="119" t="s">
        <v>90</v>
      </c>
      <c r="W15" s="119" t="s">
        <v>91</v>
      </c>
      <c r="X15" s="174"/>
      <c r="Y15" s="174"/>
      <c r="Z15" s="174"/>
      <c r="AA15" s="174"/>
      <c r="AB15" s="174"/>
      <c r="AC15" s="174"/>
      <c r="AD15" s="205"/>
      <c r="AE15" s="174"/>
      <c r="AF15" s="174"/>
      <c r="AG15" s="174"/>
      <c r="AH15" s="174"/>
      <c r="AI15" s="174"/>
      <c r="AJ15" s="174"/>
      <c r="AK15" s="174"/>
    </row>
    <row r="16" spans="1:37" ht="150" customHeight="1" x14ac:dyDescent="0.2">
      <c r="A16" s="197">
        <v>1</v>
      </c>
      <c r="B16" s="181" t="s">
        <v>197</v>
      </c>
      <c r="C16" s="178" t="s">
        <v>245</v>
      </c>
      <c r="D16" s="181" t="s">
        <v>246</v>
      </c>
      <c r="E16" s="181" t="s">
        <v>247</v>
      </c>
      <c r="F16" s="181" t="s">
        <v>203</v>
      </c>
      <c r="G16" s="177">
        <v>500</v>
      </c>
      <c r="H16" s="175" t="str">
        <f>IF(G16&lt;=0,"",IF(G16&lt;=2,"Muy Baja",IF(G16&lt;=24,"Baja",IF(G16&lt;=500,"Media",IF(G16&lt;=5000,"Alta","Muy Alta")))))</f>
        <v>Media</v>
      </c>
      <c r="I16" s="173">
        <f>IF(H16="","",IF(H16="Muy Baja",0.2,IF(H16="Baja",0.4,IF(H16="Media",0.6,IF(H16="Alta",0.8,IF(H16="Muy Alta",1,))))))</f>
        <v>0.6</v>
      </c>
      <c r="J16" s="171" t="s">
        <v>152</v>
      </c>
      <c r="K16" s="173" t="str">
        <f>IF(NOT(ISERROR(MATCH(J16,'[1]Tabla Impacto'!$B$221:$B$223,0))),'[1]Tabla Impacto'!$F$223&amp;"Por favor no seleccionar los criterios de impacto(Afectación Económica o presupuestal y Pérdida Reputacional)",J16)</f>
        <v xml:space="preserve">     Entre 100 y 500 SMLMV </v>
      </c>
      <c r="L16" s="175" t="str">
        <f>IF(OR(K16='[1]Tabla Impacto'!$C$11,K16='[1]Tabla Impacto'!$D$11),"Leve",IF(OR(K16='[1]Tabla Impacto'!$C$12,K16='[1]Tabla Impacto'!$D$12),"Menor",IF(OR(K16='[1]Tabla Impacto'!$C$13,K16='[1]Tabla Impacto'!$D$13),"Moderado",IF(OR(K16='[1]Tabla Impacto'!$C$14,K16='[1]Tabla Impacto'!$D$14),"Mayor",IF(OR(K16='[1]Tabla Impacto'!$C$15,K16='[1]Tabla Impacto'!$D$15),"Catastrófico","")))))</f>
        <v>Mayor</v>
      </c>
      <c r="M16" s="173">
        <f>IF(L16="","",IF(L16="Leve",0.2,IF(L16="Menor",0.4,IF(L16="Moderado",0.6,IF(L16="Mayor",0.8,IF(L16="Catastrófico",1,))))))</f>
        <v>0.8</v>
      </c>
      <c r="N16" s="176"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06">
        <v>1</v>
      </c>
      <c r="P16" s="130" t="s">
        <v>248</v>
      </c>
      <c r="Q16" s="110" t="str">
        <f t="shared" ref="Q16:Q43" si="0">IF(OR(R16="Preventivo",R16="Detectivo"),"Probabilidad",IF(R16="Correctivo","Impacto",""))</f>
        <v>Probabilidad</v>
      </c>
      <c r="R16" s="108" t="s">
        <v>167</v>
      </c>
      <c r="S16" s="108" t="s">
        <v>175</v>
      </c>
      <c r="T16" s="111" t="str">
        <f t="shared" ref="T16:T40" si="1">IF(AND(R16="Preventivo",S16="Automático"),"50%",IF(AND(R16="Preventivo",S16="Manual"),"40%",IF(AND(R16="Detectivo",S16="Automático"),"40%",IF(AND(R16="Detectivo",S16="Manual"),"30%",IF(AND(R16="Correctivo",S16="Automático"),"35%",IF(AND(R16="Correctivo",S16="Manual"),"25%",""))))))</f>
        <v>40%</v>
      </c>
      <c r="U16" s="131" t="s">
        <v>178</v>
      </c>
      <c r="V16" s="131" t="s">
        <v>183</v>
      </c>
      <c r="W16" s="131" t="s">
        <v>187</v>
      </c>
      <c r="X16" s="112">
        <f>IFERROR(IF(Q16="Probabilidad",(I16-(+I16*T16)),IF(Q16="Impacto",I16,"")),"")</f>
        <v>0.36</v>
      </c>
      <c r="Y16" s="113" t="str">
        <f t="shared" ref="Y16:Y43" si="2">IFERROR(IF(X16="","",IF(X16&lt;=0.2,"Muy Baja",IF(X16&lt;=0.4,"Baja",IF(X16&lt;=0.6,"Media",IF(X16&lt;=0.8,"Alta","Muy Alta"))))),"")</f>
        <v>Baja</v>
      </c>
      <c r="Z16" s="111">
        <f t="shared" ref="Z16:Z43" si="3">+X16</f>
        <v>0.36</v>
      </c>
      <c r="AA16" s="113" t="str">
        <f t="shared" ref="AA16:AA43" si="4">IFERROR(IF(AB16="","",IF(AB16&lt;=0.2,"Leve",IF(AB16&lt;=0.4,"Menor",IF(AB16&lt;=0.6,"Moderado",IF(AB16&lt;=0.8,"Mayor","Catastrófico"))))),"")</f>
        <v>Mayor</v>
      </c>
      <c r="AB16" s="111">
        <f>IFERROR(IF(Q16="Impacto",(M16-(+M16*T16)),IF(Q16="Probabilidad",M16,"")),"")</f>
        <v>0.8</v>
      </c>
      <c r="AC16" s="114" t="str">
        <f t="shared" ref="AC16:AC43"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201" t="str">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Alto</v>
      </c>
      <c r="AE16" s="142" t="s">
        <v>194</v>
      </c>
      <c r="AF16" s="107" t="s">
        <v>251</v>
      </c>
      <c r="AG16" s="135" t="s">
        <v>250</v>
      </c>
      <c r="AH16" s="132">
        <v>45659</v>
      </c>
      <c r="AI16" s="134">
        <v>46021</v>
      </c>
      <c r="AJ16" s="133" t="s">
        <v>259</v>
      </c>
      <c r="AK16" s="106"/>
    </row>
    <row r="17" spans="1:37" ht="60.75" customHeight="1" x14ac:dyDescent="0.2">
      <c r="A17" s="198"/>
      <c r="B17" s="172"/>
      <c r="C17" s="179"/>
      <c r="D17" s="181"/>
      <c r="E17" s="172"/>
      <c r="F17" s="172"/>
      <c r="G17" s="172"/>
      <c r="H17" s="174"/>
      <c r="I17" s="174"/>
      <c r="J17" s="172"/>
      <c r="K17" s="174"/>
      <c r="L17" s="174"/>
      <c r="M17" s="174"/>
      <c r="N17" s="174"/>
      <c r="O17" s="106">
        <v>2</v>
      </c>
      <c r="P17" s="130" t="s">
        <v>261</v>
      </c>
      <c r="Q17" s="110" t="str">
        <f t="shared" si="0"/>
        <v>Probabilidad</v>
      </c>
      <c r="R17" s="108" t="s">
        <v>167</v>
      </c>
      <c r="S17" s="108" t="s">
        <v>175</v>
      </c>
      <c r="T17" s="111" t="str">
        <f t="shared" ref="T17:T18" si="6">IF(AND(R17="Preventivo",S17="Automático"),"50%",IF(AND(R17="Preventivo",S17="Manual"),"40%",IF(AND(R17="Detectivo",S17="Automático"),"40%",IF(AND(R17="Detectivo",S17="Manual"),"30%",IF(AND(R17="Correctivo",S17="Automático"),"35%",IF(AND(R17="Correctivo",S17="Manual"),"25%",""))))))</f>
        <v>40%</v>
      </c>
      <c r="U17" s="131" t="s">
        <v>178</v>
      </c>
      <c r="V17" s="131" t="s">
        <v>183</v>
      </c>
      <c r="W17" s="131" t="s">
        <v>187</v>
      </c>
      <c r="X17" s="112">
        <f>IFERROR(IF(AND(Q16="Probabilidad",Q17="Probabilidad"),(Z16-(+Z16*T17)),IF(Q17="Probabilidad",(I16-(+I16*T17)),IF(Q17="Impacto",Z16,""))),"")</f>
        <v>0.216</v>
      </c>
      <c r="Y17" s="113" t="str">
        <f t="shared" si="2"/>
        <v>Baja</v>
      </c>
      <c r="Z17" s="111">
        <f t="shared" si="3"/>
        <v>0.216</v>
      </c>
      <c r="AA17" s="113" t="str">
        <f t="shared" si="4"/>
        <v>Mayor</v>
      </c>
      <c r="AB17" s="111">
        <f>IFERROR(IF(AND(Q16="Impacto",Q17="Impacto"),(AB16-(+AB16*T17)),IF(Q17="Impacto",($M$16-(+$M$16*T17)),IF(Q17="Probabilidad",AB16,""))),"")</f>
        <v>0.8</v>
      </c>
      <c r="AC17" s="114" t="str">
        <f t="shared" si="5"/>
        <v>Alto</v>
      </c>
      <c r="AD17" s="202"/>
      <c r="AE17" s="143"/>
      <c r="AF17" s="107"/>
      <c r="AG17" s="135" t="s">
        <v>250</v>
      </c>
      <c r="AH17" s="134">
        <v>45659</v>
      </c>
      <c r="AI17" s="137">
        <v>46021</v>
      </c>
      <c r="AJ17" s="133" t="s">
        <v>259</v>
      </c>
      <c r="AK17" s="106"/>
    </row>
    <row r="18" spans="1:37" ht="174.75" customHeight="1" x14ac:dyDescent="0.2">
      <c r="A18" s="199"/>
      <c r="B18" s="172"/>
      <c r="C18" s="180"/>
      <c r="D18" s="181"/>
      <c r="E18" s="172"/>
      <c r="F18" s="172"/>
      <c r="G18" s="172"/>
      <c r="H18" s="174"/>
      <c r="I18" s="174"/>
      <c r="J18" s="172"/>
      <c r="K18" s="174"/>
      <c r="L18" s="174"/>
      <c r="M18" s="174"/>
      <c r="N18" s="174"/>
      <c r="O18" s="106">
        <v>3</v>
      </c>
      <c r="P18" s="130" t="s">
        <v>249</v>
      </c>
      <c r="Q18" s="110" t="str">
        <f t="shared" si="0"/>
        <v>Probabilidad</v>
      </c>
      <c r="R18" s="108" t="s">
        <v>167</v>
      </c>
      <c r="S18" s="108" t="s">
        <v>175</v>
      </c>
      <c r="T18" s="111" t="str">
        <f t="shared" si="6"/>
        <v>40%</v>
      </c>
      <c r="U18" s="131" t="s">
        <v>178</v>
      </c>
      <c r="V18" s="131" t="s">
        <v>183</v>
      </c>
      <c r="W18" s="131" t="s">
        <v>187</v>
      </c>
      <c r="X18" s="112">
        <f>IFERROR(IF(AND(Q17="Probabilidad",Q18="Probabilidad"),(Z17-(+Z17*T18)),IF(AND(Q17="Impacto",Q18="Probabilidad"),(Z16-(+Z16*T18)),IF(Q18="Impacto",Z17,""))),"")</f>
        <v>0.12959999999999999</v>
      </c>
      <c r="Y18" s="113" t="str">
        <f t="shared" si="2"/>
        <v>Muy Baja</v>
      </c>
      <c r="Z18" s="111">
        <f t="shared" si="3"/>
        <v>0.12959999999999999</v>
      </c>
      <c r="AA18" s="113" t="str">
        <f t="shared" si="4"/>
        <v>Mayor</v>
      </c>
      <c r="AB18" s="111">
        <f>IFERROR(IF(AND(Q17="Impacto",Q18="Impacto"),(AB17-(+AB17*T18)),IF(AND(Q17="Probabilidad",Q18="Impacto"),(AB16-(+AB16*T18)),IF(Q18="Probabilidad",AB17,""))),"")</f>
        <v>0.8</v>
      </c>
      <c r="AC18" s="114" t="str">
        <f t="shared" si="5"/>
        <v>Alto</v>
      </c>
      <c r="AD18" s="203"/>
      <c r="AE18" s="144"/>
      <c r="AF18" s="107"/>
      <c r="AG18" s="135" t="s">
        <v>250</v>
      </c>
      <c r="AH18" s="134">
        <v>45659</v>
      </c>
      <c r="AI18" s="136">
        <v>46021</v>
      </c>
      <c r="AJ18" s="133" t="s">
        <v>259</v>
      </c>
      <c r="AK18" s="106"/>
    </row>
    <row r="19" spans="1:37" ht="24.75" hidden="1" customHeight="1" x14ac:dyDescent="0.2">
      <c r="A19" s="122"/>
      <c r="B19" s="124"/>
      <c r="C19" s="124"/>
      <c r="D19" s="124"/>
      <c r="E19" s="124"/>
      <c r="F19" s="124"/>
      <c r="G19" s="129"/>
      <c r="H19" s="127" t="str">
        <f>IF(G19&lt;=0,"",IF(G19&lt;=2,"Muy Baja",IF(G19&lt;=24,"Baja",IF(G19&lt;=500,"Media",IF(G19&lt;=5000,"Alta","Muy Alta")))))</f>
        <v/>
      </c>
      <c r="I19" s="126" t="str">
        <f>IF(H19="","",IF(H19="Muy Baja",0.2,IF(H19="Baja",0.4,IF(H19="Media",0.6,IF(H19="Alta",0.8,IF(H19="Muy Alta",1,))))))</f>
        <v/>
      </c>
      <c r="J19" s="125"/>
      <c r="K19" s="126">
        <f ca="1">IF(NOT(ISERROR(MATCH(J19,'Tabla Impacto'!$B$221:$B$223,0))),'Tabla Impacto'!$F$223&amp;"Por favor no seleccionar los criterios de impacto(Afectación Económica o presupuestal y Pérdida Reputacional)",J19)</f>
        <v>0</v>
      </c>
      <c r="L19" s="127" t="str">
        <f ca="1">IF(OR(K19='Tabla Impacto'!$C$11,K19='Tabla Impacto'!$D$11),"Leve",IF(OR(K19='Tabla Impacto'!$C$12,K19='Tabla Impacto'!$D$12),"Menor",IF(OR(K19='Tabla Impacto'!$C$13,K19='Tabla Impacto'!$D$13),"Moderado",IF(OR(K19='Tabla Impacto'!$C$14,K19='Tabla Impacto'!$D$14),"Mayor",IF(OR(K19='Tabla Impacto'!$C$15,K19='Tabla Impacto'!$D$15),"Catastrófico","")))))</f>
        <v/>
      </c>
      <c r="M19" s="126" t="str">
        <f ca="1">IF(L19="","",IF(L19="Leve",0.2,IF(L19="Menor",0.4,IF(L19="Moderado",0.6,IF(L19="Mayor",0.8,IF(L19="Catastrófico",1,))))))</f>
        <v/>
      </c>
      <c r="N19" s="12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06"/>
      <c r="P19" s="130"/>
      <c r="Q19" s="110" t="str">
        <f t="shared" si="0"/>
        <v/>
      </c>
      <c r="R19" s="108"/>
      <c r="S19" s="108"/>
      <c r="T19" s="111" t="str">
        <f t="shared" si="1"/>
        <v/>
      </c>
      <c r="U19" s="108"/>
      <c r="V19" s="108"/>
      <c r="W19" s="108"/>
      <c r="X19" s="112" t="str">
        <f t="shared" ref="X19:X40" si="7">IFERROR(IF(Q19="Probabilidad",(I19-(+I19*T19)),IF(Q19="Impacto",I19,"")),"")</f>
        <v/>
      </c>
      <c r="Y19" s="113" t="str">
        <f t="shared" si="2"/>
        <v/>
      </c>
      <c r="Z19" s="111" t="str">
        <f t="shared" si="3"/>
        <v/>
      </c>
      <c r="AA19" s="113" t="str">
        <f t="shared" si="4"/>
        <v/>
      </c>
      <c r="AB19" s="111" t="str">
        <f t="shared" ref="AB19:AB40" si="8">IFERROR(IF(Q19="Impacto",(M19-(+M19*T19)),IF(Q19="Probabilidad",M19,"")),"")</f>
        <v/>
      </c>
      <c r="AC19" s="114" t="str">
        <f t="shared" si="5"/>
        <v/>
      </c>
      <c r="AD19" s="123"/>
      <c r="AE19" s="108"/>
      <c r="AF19" s="107"/>
      <c r="AG19" s="107"/>
      <c r="AH19" s="109"/>
      <c r="AI19" s="109"/>
      <c r="AJ19" s="107"/>
      <c r="AK19" s="106"/>
    </row>
    <row r="20" spans="1:37" ht="23.25" hidden="1" customHeight="1" x14ac:dyDescent="0.2">
      <c r="A20" s="115"/>
      <c r="B20" s="124"/>
      <c r="C20" s="124"/>
      <c r="D20" s="124"/>
      <c r="E20" s="124"/>
      <c r="F20" s="124"/>
      <c r="G20" s="129"/>
      <c r="H20" s="127" t="str">
        <f>IF(G20&lt;=0,"",IF(G20&lt;=2,"Muy Baja",IF(G20&lt;=24,"Baja",IF(G20&lt;=500,"Media",IF(G20&lt;=5000,"Alta","Muy Alta")))))</f>
        <v/>
      </c>
      <c r="I20" s="126" t="str">
        <f>IF(H20="","",IF(H20="Muy Baja",0.2,IF(H20="Baja",0.4,IF(H20="Media",0.6,IF(H20="Alta",0.8,IF(H20="Muy Alta",1,))))))</f>
        <v/>
      </c>
      <c r="J20" s="125"/>
      <c r="K20" s="126">
        <f ca="1">IF(NOT(ISERROR(MATCH(J20,'Tabla Impacto'!$B$221:$B$223,0))),'Tabla Impacto'!$F$223&amp;"Por favor no seleccionar los criterios de impacto(Afectación Económica o presupuestal y Pérdida Reputacional)",J20)</f>
        <v>0</v>
      </c>
      <c r="L20" s="127" t="str">
        <f ca="1">IF(OR(K20='Tabla Impacto'!$C$11,K20='Tabla Impacto'!$D$11),"Leve",IF(OR(K20='Tabla Impacto'!$C$12,K20='Tabla Impacto'!$D$12),"Menor",IF(OR(K20='Tabla Impacto'!$C$13,K20='Tabla Impacto'!$D$13),"Moderado",IF(OR(K20='Tabla Impacto'!$C$14,K20='Tabla Impacto'!$D$14),"Mayor",IF(OR(K20='Tabla Impacto'!$C$15,K20='Tabla Impacto'!$D$15),"Catastrófico","")))))</f>
        <v/>
      </c>
      <c r="M20" s="126" t="str">
        <f ca="1">IF(L20="","",IF(L20="Leve",0.2,IF(L20="Menor",0.4,IF(L20="Moderado",0.6,IF(L20="Mayor",0.8,IF(L20="Catastrófico",1,))))))</f>
        <v/>
      </c>
      <c r="N20" s="128" t="str">
        <f ca="1">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106"/>
      <c r="P20" s="130"/>
      <c r="Q20" s="110" t="str">
        <f t="shared" si="0"/>
        <v/>
      </c>
      <c r="R20" s="108"/>
      <c r="S20" s="108"/>
      <c r="T20" s="111" t="str">
        <f t="shared" si="1"/>
        <v/>
      </c>
      <c r="U20" s="108"/>
      <c r="V20" s="108"/>
      <c r="W20" s="108"/>
      <c r="X20" s="112" t="str">
        <f t="shared" si="7"/>
        <v/>
      </c>
      <c r="Y20" s="113" t="str">
        <f t="shared" si="2"/>
        <v/>
      </c>
      <c r="Z20" s="111" t="str">
        <f t="shared" si="3"/>
        <v/>
      </c>
      <c r="AA20" s="113" t="str">
        <f t="shared" si="4"/>
        <v/>
      </c>
      <c r="AB20" s="111" t="str">
        <f t="shared" si="8"/>
        <v/>
      </c>
      <c r="AC20" s="114" t="str">
        <f t="shared" si="5"/>
        <v/>
      </c>
      <c r="AD20" s="121"/>
      <c r="AE20" s="108"/>
      <c r="AF20" s="107"/>
      <c r="AG20" s="107"/>
      <c r="AH20" s="109"/>
      <c r="AI20" s="109"/>
      <c r="AJ20" s="107"/>
      <c r="AK20" s="106"/>
    </row>
    <row r="21" spans="1:37" ht="115.5" customHeight="1" x14ac:dyDescent="0.2">
      <c r="A21" s="177">
        <v>2</v>
      </c>
      <c r="B21" s="178" t="s">
        <v>195</v>
      </c>
      <c r="C21" s="181" t="s">
        <v>252</v>
      </c>
      <c r="D21" s="181" t="s">
        <v>253</v>
      </c>
      <c r="E21" s="181" t="s">
        <v>254</v>
      </c>
      <c r="F21" s="181" t="s">
        <v>203</v>
      </c>
      <c r="G21" s="177">
        <v>500</v>
      </c>
      <c r="H21" s="175" t="str">
        <f>IF(G21&lt;=0,"",IF(G21&lt;=2,"Muy Baja",IF(G21&lt;=24,"Baja",IF(G21&lt;=500,"Media",IF(G21&lt;=5000,"Alta","Muy Alta")))))</f>
        <v>Media</v>
      </c>
      <c r="I21" s="173">
        <f>IF(H21="","",IF(H21="Muy Baja",0.2,IF(H21="Baja",0.4,IF(H21="Media",0.6,IF(H21="Alta",0.8,IF(H21="Muy Alta",1,))))))</f>
        <v>0.6</v>
      </c>
      <c r="J21" s="171" t="s">
        <v>151</v>
      </c>
      <c r="K21" s="173" t="str">
        <f>IF(NOT(ISERROR(MATCH(J21,'[1]Tabla Impacto'!$B$221:$B$223,0))),'[1]Tabla Impacto'!$F$223&amp;"Por favor no seleccionar los criterios de impacto(Afectación Económica o presupuestal y Pérdida Reputacional)",J21)</f>
        <v xml:space="preserve">     El riesgo afecta la imagen de la entidad con algunos usuarios de relevancia frente al logro de los objetivos</v>
      </c>
      <c r="L21" s="175" t="str">
        <f>IF(OR(K21='[1]Tabla Impacto'!$C$11,K21='[1]Tabla Impacto'!$D$11),"Leve",IF(OR(K21='[1]Tabla Impacto'!$C$12,K21='[1]Tabla Impacto'!$D$12),"Menor",IF(OR(K21='[1]Tabla Impacto'!$C$13,K21='[1]Tabla Impacto'!$D$13),"Moderado",IF(OR(K21='[1]Tabla Impacto'!$C$14,K21='[1]Tabla Impacto'!$D$14),"Mayor",IF(OR(K21='[1]Tabla Impacto'!$C$15,K21='[1]Tabla Impacto'!$D$15),"Catastrófico","")))))</f>
        <v>Moderado</v>
      </c>
      <c r="M21" s="173">
        <f>IF(L21="","",IF(L21="Leve",0.2,IF(L21="Menor",0.4,IF(L21="Moderado",0.6,IF(L21="Mayor",0.8,IF(L21="Catastrófico",1,))))))</f>
        <v>0.6</v>
      </c>
      <c r="N21" s="176"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06">
        <v>1</v>
      </c>
      <c r="P21" s="138" t="s">
        <v>262</v>
      </c>
      <c r="Q21" s="110" t="str">
        <f t="shared" si="0"/>
        <v>Probabilidad</v>
      </c>
      <c r="R21" s="108" t="s">
        <v>167</v>
      </c>
      <c r="S21" s="108" t="s">
        <v>175</v>
      </c>
      <c r="T21" s="111" t="str">
        <f t="shared" ref="T21:T23" si="9">IF(AND(R21="Preventivo",S21="Automático"),"50%",IF(AND(R21="Preventivo",S21="Manual"),"40%",IF(AND(R21="Detectivo",S21="Automático"),"40%",IF(AND(R21="Detectivo",S21="Manual"),"30%",IF(AND(R21="Correctivo",S21="Automático"),"35%",IF(AND(R21="Correctivo",S21="Manual"),"25%",""))))))</f>
        <v>40%</v>
      </c>
      <c r="U21" s="131" t="s">
        <v>178</v>
      </c>
      <c r="V21" s="131" t="s">
        <v>183</v>
      </c>
      <c r="W21" s="131" t="s">
        <v>187</v>
      </c>
      <c r="X21" s="112">
        <f>IFERROR(IF(Q21="Probabilidad",(I21-(+I21*T21)),IF(Q21="Impacto",I21,"")),"")</f>
        <v>0.36</v>
      </c>
      <c r="Y21" s="113" t="str">
        <f t="shared" si="2"/>
        <v>Baja</v>
      </c>
      <c r="Z21" s="111">
        <f t="shared" si="3"/>
        <v>0.36</v>
      </c>
      <c r="AA21" s="113" t="str">
        <f t="shared" si="4"/>
        <v>Moderado</v>
      </c>
      <c r="AB21" s="111">
        <f>IFERROR(IF(Q21="Impacto",(M21-(+M21*T21)),IF(Q21="Probabilidad",M21,"")),"")</f>
        <v>0.6</v>
      </c>
      <c r="AC21" s="114" t="str">
        <f t="shared" si="5"/>
        <v>Moderado</v>
      </c>
      <c r="AD21" s="201"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Moderado</v>
      </c>
      <c r="AE21" s="142"/>
      <c r="AF21" s="107"/>
      <c r="AG21" s="135" t="s">
        <v>250</v>
      </c>
      <c r="AH21" s="140">
        <v>45659</v>
      </c>
      <c r="AI21" s="140">
        <v>46021</v>
      </c>
      <c r="AJ21" s="107" t="s">
        <v>260</v>
      </c>
      <c r="AK21" s="106"/>
    </row>
    <row r="22" spans="1:37" ht="61.5" customHeight="1" x14ac:dyDescent="0.2">
      <c r="A22" s="172"/>
      <c r="B22" s="179"/>
      <c r="C22" s="181"/>
      <c r="D22" s="181"/>
      <c r="E22" s="172"/>
      <c r="F22" s="172"/>
      <c r="G22" s="172"/>
      <c r="H22" s="174"/>
      <c r="I22" s="174"/>
      <c r="J22" s="172"/>
      <c r="K22" s="174"/>
      <c r="L22" s="174"/>
      <c r="M22" s="174"/>
      <c r="N22" s="174"/>
      <c r="O22" s="106">
        <v>2</v>
      </c>
      <c r="P22" s="130" t="s">
        <v>263</v>
      </c>
      <c r="Q22" s="110" t="str">
        <f t="shared" si="0"/>
        <v>Probabilidad</v>
      </c>
      <c r="R22" s="108" t="s">
        <v>167</v>
      </c>
      <c r="S22" s="108" t="s">
        <v>175</v>
      </c>
      <c r="T22" s="111" t="str">
        <f t="shared" si="9"/>
        <v>40%</v>
      </c>
      <c r="U22" s="131" t="s">
        <v>178</v>
      </c>
      <c r="V22" s="131" t="s">
        <v>183</v>
      </c>
      <c r="W22" s="131" t="s">
        <v>187</v>
      </c>
      <c r="X22" s="112">
        <f>IFERROR(IF(AND(Q21="Probabilidad",Q22="Probabilidad"),(Z21-(+Z21*T22)),IF(Q22="Probabilidad",(I21-(+I21*T22)),IF(Q22="Impacto",Z21,""))),"")</f>
        <v>0.216</v>
      </c>
      <c r="Y22" s="113" t="str">
        <f t="shared" si="2"/>
        <v>Baja</v>
      </c>
      <c r="Z22" s="111">
        <f t="shared" si="3"/>
        <v>0.216</v>
      </c>
      <c r="AA22" s="113" t="str">
        <f t="shared" si="4"/>
        <v>Moderado</v>
      </c>
      <c r="AB22" s="111">
        <f>IFERROR(IF(AND(Q21="Impacto",Q22="Impacto"),(AB21-(+AB21*T22)),IF(Q22="Impacto",($M$16-(+$M$16*T22)),IF(Q22="Probabilidad",AB21,""))),"")</f>
        <v>0.6</v>
      </c>
      <c r="AC22" s="114" t="str">
        <f t="shared" si="5"/>
        <v>Moderado</v>
      </c>
      <c r="AD22" s="202"/>
      <c r="AE22" s="143"/>
      <c r="AF22" s="107"/>
      <c r="AG22" s="135" t="s">
        <v>250</v>
      </c>
      <c r="AH22" s="139">
        <v>45659</v>
      </c>
      <c r="AI22" s="141">
        <v>46021</v>
      </c>
      <c r="AJ22" s="107" t="s">
        <v>260</v>
      </c>
      <c r="AK22" s="106"/>
    </row>
    <row r="23" spans="1:37" ht="97.5" customHeight="1" x14ac:dyDescent="0.2">
      <c r="A23" s="172"/>
      <c r="B23" s="180"/>
      <c r="C23" s="181"/>
      <c r="D23" s="181"/>
      <c r="E23" s="172"/>
      <c r="F23" s="172"/>
      <c r="G23" s="172"/>
      <c r="H23" s="174"/>
      <c r="I23" s="174"/>
      <c r="J23" s="172"/>
      <c r="K23" s="174"/>
      <c r="L23" s="174"/>
      <c r="M23" s="174"/>
      <c r="N23" s="174"/>
      <c r="O23" s="106"/>
      <c r="P23" s="130"/>
      <c r="Q23" s="110" t="str">
        <f t="shared" si="0"/>
        <v/>
      </c>
      <c r="R23" s="108"/>
      <c r="S23" s="108"/>
      <c r="T23" s="111" t="str">
        <f t="shared" si="9"/>
        <v/>
      </c>
      <c r="U23" s="131"/>
      <c r="V23" s="131"/>
      <c r="W23" s="131"/>
      <c r="X23" s="112" t="str">
        <f>IFERROR(IF(AND(Q22="Probabilidad",Q23="Probabilidad"),(Z22-(+Z22*T23)),IF(AND(Q22="Impacto",Q23="Probabilidad"),(Z21-(+Z21*T23)),IF(Q23="Impacto",Z22,""))),"")</f>
        <v/>
      </c>
      <c r="Y23" s="113" t="str">
        <f t="shared" si="2"/>
        <v/>
      </c>
      <c r="Z23" s="111" t="str">
        <f t="shared" si="3"/>
        <v/>
      </c>
      <c r="AA23" s="113" t="str">
        <f t="shared" si="4"/>
        <v/>
      </c>
      <c r="AB23" s="111" t="str">
        <f>IFERROR(IF(AND(Q22="Impacto",Q23="Impacto"),(AB22-(+AB22*T23)),IF(AND(Q22="Probabilidad",Q23="Impacto"),(AB21-(+AB21*T23)),IF(Q23="Probabilidad",AB22,""))),"")</f>
        <v/>
      </c>
      <c r="AC23" s="114" t="str">
        <f t="shared" si="5"/>
        <v/>
      </c>
      <c r="AD23" s="203"/>
      <c r="AE23" s="144"/>
      <c r="AF23" s="107"/>
      <c r="AG23" s="107"/>
      <c r="AH23" s="109"/>
      <c r="AI23" s="109"/>
      <c r="AK23" s="106"/>
    </row>
    <row r="24" spans="1:37" ht="16.5" hidden="1" customHeight="1" x14ac:dyDescent="0.2">
      <c r="A24" s="115"/>
      <c r="B24" s="124"/>
      <c r="C24" s="124"/>
      <c r="D24" s="124"/>
      <c r="E24" s="124"/>
      <c r="F24" s="124"/>
      <c r="G24" s="129"/>
      <c r="H24" s="127" t="str">
        <f>IF(G24&lt;=0,"",IF(G24&lt;=2,"Muy Baja",IF(G24&lt;=24,"Baja",IF(G24&lt;=500,"Media",IF(G24&lt;=5000,"Alta","Muy Alta")))))</f>
        <v/>
      </c>
      <c r="I24" s="126" t="str">
        <f>IF(H24="","",IF(H24="Muy Baja",0.2,IF(H24="Baja",0.4,IF(H24="Media",0.6,IF(H24="Alta",0.8,IF(H24="Muy Alta",1,))))))</f>
        <v/>
      </c>
      <c r="J24" s="125"/>
      <c r="K24" s="126">
        <f ca="1">IF(NOT(ISERROR(MATCH(J24,'Tabla Impacto'!$B$221:$B$223,0))),'Tabla Impacto'!$F$223&amp;"Por favor no seleccionar los criterios de impacto(Afectación Económica o presupuestal y Pérdida Reputacional)",J24)</f>
        <v>0</v>
      </c>
      <c r="L24" s="127" t="str">
        <f ca="1">IF(OR(K24='Tabla Impacto'!$C$11,K24='Tabla Impacto'!$D$11),"Leve",IF(OR(K24='Tabla Impacto'!$C$12,K24='Tabla Impacto'!$D$12),"Menor",IF(OR(K24='Tabla Impacto'!$C$13,K24='Tabla Impacto'!$D$13),"Moderado",IF(OR(K24='Tabla Impacto'!$C$14,K24='Tabla Impacto'!$D$14),"Mayor",IF(OR(K24='Tabla Impacto'!$C$15,K24='Tabla Impacto'!$D$15),"Catastrófico","")))))</f>
        <v/>
      </c>
      <c r="M24" s="126" t="str">
        <f ca="1">IF(L24="","",IF(L24="Leve",0.2,IF(L24="Menor",0.4,IF(L24="Moderado",0.6,IF(L24="Mayor",0.8,IF(L24="Catastrófico",1,))))))</f>
        <v/>
      </c>
      <c r="N24" s="128" t="str">
        <f ca="1">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c r="P24" s="130"/>
      <c r="Q24" s="110" t="str">
        <f t="shared" si="0"/>
        <v/>
      </c>
      <c r="R24" s="108"/>
      <c r="S24" s="108"/>
      <c r="T24" s="111"/>
      <c r="U24" s="108"/>
      <c r="V24" s="108"/>
      <c r="W24" s="108"/>
      <c r="X24" s="112" t="str">
        <f t="shared" si="7"/>
        <v/>
      </c>
      <c r="Y24" s="113" t="str">
        <f t="shared" si="2"/>
        <v/>
      </c>
      <c r="Z24" s="111" t="str">
        <f t="shared" si="3"/>
        <v/>
      </c>
      <c r="AA24" s="113" t="str">
        <f t="shared" si="4"/>
        <v/>
      </c>
      <c r="AB24" s="111" t="str">
        <f t="shared" si="8"/>
        <v/>
      </c>
      <c r="AC24" s="114" t="str">
        <f t="shared" si="5"/>
        <v/>
      </c>
      <c r="AD24" s="123"/>
      <c r="AE24" s="108"/>
      <c r="AF24" s="107"/>
      <c r="AG24" s="107"/>
      <c r="AH24" s="109"/>
      <c r="AI24" s="109"/>
      <c r="AJ24" s="107"/>
      <c r="AK24" s="106"/>
    </row>
    <row r="25" spans="1:37" ht="16.5" hidden="1" customHeight="1" x14ac:dyDescent="0.2">
      <c r="A25" s="115"/>
      <c r="B25" s="124"/>
      <c r="C25" s="124"/>
      <c r="D25" s="124"/>
      <c r="E25" s="124"/>
      <c r="F25" s="124"/>
      <c r="G25" s="129"/>
      <c r="H25" s="127" t="str">
        <f>IF(G25&lt;=0,"",IF(G25&lt;=2,"Muy Baja",IF(G25&lt;=24,"Baja",IF(G25&lt;=500,"Media",IF(G25&lt;=5000,"Alta","Muy Alta")))))</f>
        <v/>
      </c>
      <c r="I25" s="126" t="str">
        <f>IF(H25="","",IF(H25="Muy Baja",0.2,IF(H25="Baja",0.4,IF(H25="Media",0.6,IF(H25="Alta",0.8,IF(H25="Muy Alta",1,))))))</f>
        <v/>
      </c>
      <c r="J25" s="125"/>
      <c r="K25" s="126">
        <f ca="1">IF(NOT(ISERROR(MATCH(J25,'Tabla Impacto'!$B$221:$B$223,0))),'Tabla Impacto'!$F$223&amp;"Por favor no seleccionar los criterios de impacto(Afectación Económica o presupuestal y Pérdida Reputacional)",J25)</f>
        <v>0</v>
      </c>
      <c r="L25" s="127" t="str">
        <f ca="1">IF(OR(K25='Tabla Impacto'!$C$11,K25='Tabla Impacto'!$D$11),"Leve",IF(OR(K25='Tabla Impacto'!$C$12,K25='Tabla Impacto'!$D$12),"Menor",IF(OR(K25='Tabla Impacto'!$C$13,K25='Tabla Impacto'!$D$13),"Moderado",IF(OR(K25='Tabla Impacto'!$C$14,K25='Tabla Impacto'!$D$14),"Mayor",IF(OR(K25='Tabla Impacto'!$C$15,K25='Tabla Impacto'!$D$15),"Catastrófico","")))))</f>
        <v/>
      </c>
      <c r="M25" s="126" t="str">
        <f ca="1">IF(L25="","",IF(L25="Leve",0.2,IF(L25="Menor",0.4,IF(L25="Moderado",0.6,IF(L25="Mayor",0.8,IF(L25="Catastrófico",1,))))))</f>
        <v/>
      </c>
      <c r="N25" s="128"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6"/>
      <c r="P25" s="130"/>
      <c r="Q25" s="110" t="str">
        <f t="shared" si="0"/>
        <v/>
      </c>
      <c r="R25" s="108"/>
      <c r="S25" s="108"/>
      <c r="T25" s="111"/>
      <c r="U25" s="108"/>
      <c r="V25" s="108"/>
      <c r="W25" s="108"/>
      <c r="X25" s="112" t="str">
        <f t="shared" si="7"/>
        <v/>
      </c>
      <c r="Y25" s="113" t="str">
        <f t="shared" si="2"/>
        <v/>
      </c>
      <c r="Z25" s="111" t="str">
        <f t="shared" si="3"/>
        <v/>
      </c>
      <c r="AA25" s="113" t="str">
        <f t="shared" si="4"/>
        <v/>
      </c>
      <c r="AB25" s="111" t="str">
        <f t="shared" si="8"/>
        <v/>
      </c>
      <c r="AC25" s="114" t="str">
        <f t="shared" si="5"/>
        <v/>
      </c>
      <c r="AD25" s="121"/>
      <c r="AE25" s="108"/>
      <c r="AF25" s="107"/>
      <c r="AG25" s="107"/>
      <c r="AH25" s="109"/>
      <c r="AI25" s="109"/>
      <c r="AJ25" s="107"/>
      <c r="AK25" s="106"/>
    </row>
    <row r="26" spans="1:37" ht="90" customHeight="1" x14ac:dyDescent="0.2">
      <c r="A26" s="177">
        <v>3</v>
      </c>
      <c r="B26" s="178" t="s">
        <v>195</v>
      </c>
      <c r="C26" s="181" t="s">
        <v>255</v>
      </c>
      <c r="D26" s="181" t="s">
        <v>256</v>
      </c>
      <c r="E26" s="181" t="s">
        <v>257</v>
      </c>
      <c r="F26" s="181" t="s">
        <v>203</v>
      </c>
      <c r="G26" s="177">
        <v>500</v>
      </c>
      <c r="H26" s="175" t="str">
        <f>IF(G26&lt;=0,"",IF(G26&lt;=2,"Muy Baja",IF(G26&lt;=24,"Baja",IF(G26&lt;=500,"Media",IF(G26&lt;=5000,"Alta","Muy Alta")))))</f>
        <v>Media</v>
      </c>
      <c r="I26" s="173">
        <f>IF(H26="","",IF(H26="Muy Baja",0.2,IF(H26="Baja",0.4,IF(H26="Media",0.6,IF(H26="Alta",0.8,IF(H26="Muy Alta",1,))))))</f>
        <v>0.6</v>
      </c>
      <c r="J26" s="171" t="s">
        <v>145</v>
      </c>
      <c r="K26" s="173" t="str">
        <f>IF(NOT(ISERROR(MATCH(J26,'[1]Tabla Impacto'!$B$221:$B$223,0))),'[1]Tabla Impacto'!$F$223&amp;"Por favor no seleccionar los criterios de impacto(Afectación Económica o presupuestal y Pérdida Reputacional)",J26)</f>
        <v xml:space="preserve">     Afectación menor a 10 SMLMV .</v>
      </c>
      <c r="L26" s="175" t="str">
        <f>IF(OR(K26='[1]Tabla Impacto'!$C$11,K26='[1]Tabla Impacto'!$D$11),"Leve",IF(OR(K26='[1]Tabla Impacto'!$C$12,K26='[1]Tabla Impacto'!$D$12),"Menor",IF(OR(K26='[1]Tabla Impacto'!$C$13,K26='[1]Tabla Impacto'!$D$13),"Moderado",IF(OR(K26='[1]Tabla Impacto'!$C$14,K26='[1]Tabla Impacto'!$D$14),"Mayor",IF(OR(K26='[1]Tabla Impacto'!$C$15,K26='[1]Tabla Impacto'!$D$15),"Catastrófico","")))))</f>
        <v>Leve</v>
      </c>
      <c r="M26" s="173">
        <f>IF(L26="","",IF(L26="Leve",0.2,IF(L26="Menor",0.4,IF(L26="Moderado",0.6,IF(L26="Mayor",0.8,IF(L26="Catastrófico",1,))))))</f>
        <v>0.2</v>
      </c>
      <c r="N26" s="176"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106">
        <v>1</v>
      </c>
      <c r="P26" s="130" t="s">
        <v>264</v>
      </c>
      <c r="Q26" s="110" t="str">
        <f t="shared" si="0"/>
        <v>Probabilidad</v>
      </c>
      <c r="R26" s="108" t="s">
        <v>167</v>
      </c>
      <c r="S26" s="108" t="s">
        <v>175</v>
      </c>
      <c r="T26" s="111" t="str">
        <f t="shared" ref="T26:T28" si="10">IF(AND(R26="Preventivo",S26="Automático"),"50%",IF(AND(R26="Preventivo",S26="Manual"),"40%",IF(AND(R26="Detectivo",S26="Automático"),"40%",IF(AND(R26="Detectivo",S26="Manual"),"30%",IF(AND(R26="Correctivo",S26="Automático"),"35%",IF(AND(R26="Correctivo",S26="Manual"),"25%",""))))))</f>
        <v>40%</v>
      </c>
      <c r="U26" s="131" t="s">
        <v>178</v>
      </c>
      <c r="V26" s="131" t="s">
        <v>183</v>
      </c>
      <c r="W26" s="131" t="s">
        <v>187</v>
      </c>
      <c r="X26" s="112">
        <f>IFERROR(IF(Q26="Probabilidad",(I26-(+I26*T26)),IF(Q26="Impacto",I26,"")),"")</f>
        <v>0.36</v>
      </c>
      <c r="Y26" s="113" t="str">
        <f t="shared" si="2"/>
        <v>Baja</v>
      </c>
      <c r="Z26" s="111">
        <f t="shared" si="3"/>
        <v>0.36</v>
      </c>
      <c r="AA26" s="113" t="str">
        <f t="shared" si="4"/>
        <v>Leve</v>
      </c>
      <c r="AB26" s="111">
        <f>IFERROR(IF(Q26="Impacto",(M26-(+M26*T26)),IF(Q26="Probabilidad",M26,"")),"")</f>
        <v>0.2</v>
      </c>
      <c r="AC26" s="114" t="str">
        <f t="shared" si="5"/>
        <v>Bajo</v>
      </c>
      <c r="AD26" s="201" t="str">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Bajo</v>
      </c>
      <c r="AE26" s="142"/>
      <c r="AF26" s="107" t="s">
        <v>258</v>
      </c>
      <c r="AG26" s="135" t="s">
        <v>250</v>
      </c>
      <c r="AH26" s="140">
        <v>45659</v>
      </c>
      <c r="AI26" s="140">
        <v>46021</v>
      </c>
      <c r="AJ26" s="107" t="s">
        <v>260</v>
      </c>
      <c r="AK26" s="106"/>
    </row>
    <row r="27" spans="1:37" ht="100.5" customHeight="1" x14ac:dyDescent="0.2">
      <c r="A27" s="172"/>
      <c r="B27" s="179"/>
      <c r="C27" s="181"/>
      <c r="D27" s="181"/>
      <c r="E27" s="172"/>
      <c r="F27" s="172"/>
      <c r="G27" s="172"/>
      <c r="H27" s="174"/>
      <c r="I27" s="174"/>
      <c r="J27" s="172"/>
      <c r="K27" s="174"/>
      <c r="L27" s="174"/>
      <c r="M27" s="174"/>
      <c r="N27" s="174"/>
      <c r="O27" s="106">
        <v>2</v>
      </c>
      <c r="P27" s="130" t="s">
        <v>265</v>
      </c>
      <c r="Q27" s="110" t="str">
        <f t="shared" si="0"/>
        <v>Probabilidad</v>
      </c>
      <c r="R27" s="108" t="s">
        <v>167</v>
      </c>
      <c r="S27" s="108" t="s">
        <v>175</v>
      </c>
      <c r="T27" s="111" t="str">
        <f t="shared" si="10"/>
        <v>40%</v>
      </c>
      <c r="U27" s="131" t="s">
        <v>178</v>
      </c>
      <c r="V27" s="131" t="s">
        <v>183</v>
      </c>
      <c r="W27" s="131" t="s">
        <v>187</v>
      </c>
      <c r="X27" s="112">
        <f>IFERROR(IF(AND(Q26="Probabilidad",Q27="Probabilidad"),(Z26-(+Z26*T27)),IF(Q27="Probabilidad",(I26-(+I26*T27)),IF(Q27="Impacto",Z26,""))),"")</f>
        <v>0.216</v>
      </c>
      <c r="Y27" s="113" t="str">
        <f t="shared" si="2"/>
        <v>Baja</v>
      </c>
      <c r="Z27" s="111">
        <f t="shared" si="3"/>
        <v>0.216</v>
      </c>
      <c r="AA27" s="113" t="str">
        <f t="shared" si="4"/>
        <v>Leve</v>
      </c>
      <c r="AB27" s="111">
        <f>IFERROR(IF(AND(Q26="Impacto",Q27="Impacto"),(AB26-(+AB26*T27)),IF(Q27="Impacto",($M$16-(+$M$16*T27)),IF(Q27="Probabilidad",AB26,""))),"")</f>
        <v>0.2</v>
      </c>
      <c r="AC27" s="114" t="str">
        <f t="shared" si="5"/>
        <v>Bajo</v>
      </c>
      <c r="AD27" s="202"/>
      <c r="AE27" s="143"/>
      <c r="AF27" s="107"/>
      <c r="AG27" s="135" t="s">
        <v>250</v>
      </c>
      <c r="AH27" s="139">
        <v>45659</v>
      </c>
      <c r="AI27" s="141">
        <v>46021</v>
      </c>
      <c r="AJ27" s="107" t="s">
        <v>260</v>
      </c>
      <c r="AK27" s="106"/>
    </row>
    <row r="28" spans="1:37" ht="120" customHeight="1" x14ac:dyDescent="0.2">
      <c r="A28" s="172"/>
      <c r="B28" s="180"/>
      <c r="C28" s="181"/>
      <c r="D28" s="181"/>
      <c r="E28" s="172"/>
      <c r="F28" s="172"/>
      <c r="G28" s="172"/>
      <c r="H28" s="174"/>
      <c r="I28" s="174"/>
      <c r="J28" s="172"/>
      <c r="K28" s="174"/>
      <c r="L28" s="174"/>
      <c r="M28" s="174"/>
      <c r="N28" s="174"/>
      <c r="O28" s="106">
        <v>3</v>
      </c>
      <c r="P28" s="130"/>
      <c r="Q28" s="110" t="str">
        <f t="shared" si="0"/>
        <v>Probabilidad</v>
      </c>
      <c r="R28" s="108" t="s">
        <v>167</v>
      </c>
      <c r="S28" s="108"/>
      <c r="T28" s="111" t="str">
        <f t="shared" si="10"/>
        <v/>
      </c>
      <c r="U28" s="131"/>
      <c r="V28" s="131"/>
      <c r="W28" s="131"/>
      <c r="X28" s="112" t="str">
        <f>IFERROR(IF(AND(Q27="Probabilidad",Q28="Probabilidad"),(Z27-(+Z27*T28)),IF(AND(Q27="Impacto",Q28="Probabilidad"),(Z26-(+Z26*T28)),IF(Q28="Impacto",Z27,""))),"")</f>
        <v/>
      </c>
      <c r="Y28" s="113" t="str">
        <f t="shared" si="2"/>
        <v/>
      </c>
      <c r="Z28" s="111" t="str">
        <f t="shared" si="3"/>
        <v/>
      </c>
      <c r="AA28" s="113" t="str">
        <f t="shared" si="4"/>
        <v>Leve</v>
      </c>
      <c r="AB28" s="111">
        <f>IFERROR(IF(AND(Q27="Impacto",Q28="Impacto"),(AB27-(+AB27*T28)),IF(AND(Q27="Probabilidad",Q28="Impacto"),(AB26-(+AB26*T28)),IF(Q28="Probabilidad",AB27,""))),"")</f>
        <v>0.2</v>
      </c>
      <c r="AC28" s="114" t="str">
        <f t="shared" si="5"/>
        <v/>
      </c>
      <c r="AD28" s="203"/>
      <c r="AE28" s="144"/>
      <c r="AF28" s="107"/>
      <c r="AG28" s="107"/>
      <c r="AH28" s="109"/>
      <c r="AI28" s="109"/>
      <c r="AJ28" s="107"/>
      <c r="AK28" s="106"/>
    </row>
    <row r="29" spans="1:37" ht="16.5" hidden="1" customHeight="1" x14ac:dyDescent="0.2">
      <c r="A29" s="115"/>
      <c r="B29" s="124"/>
      <c r="C29" s="124"/>
      <c r="D29" s="124"/>
      <c r="E29" s="124"/>
      <c r="F29" s="124"/>
      <c r="G29" s="129"/>
      <c r="H29" s="127" t="str">
        <f>IF(G29&lt;=0,"",IF(G29&lt;=2,"Muy Baja",IF(G29&lt;=24,"Baja",IF(G29&lt;=500,"Media",IF(G29&lt;=5000,"Alta","Muy Alta")))))</f>
        <v/>
      </c>
      <c r="I29" s="126" t="str">
        <f>IF(H29="","",IF(H29="Muy Baja",0.2,IF(H29="Baja",0.4,IF(H29="Media",0.6,IF(H29="Alta",0.8,IF(H29="Muy Alta",1,))))))</f>
        <v/>
      </c>
      <c r="J29" s="125"/>
      <c r="K29" s="126">
        <f ca="1">IF(NOT(ISERROR(MATCH(J29,'Tabla Impacto'!$B$221:$B$223,0))),'Tabla Impacto'!$F$223&amp;"Por favor no seleccionar los criterios de impacto(Afectación Económica o presupuestal y Pérdida Reputacional)",J29)</f>
        <v>0</v>
      </c>
      <c r="L29" s="127" t="str">
        <f ca="1">IF(OR(K29='Tabla Impacto'!$C$11,K29='Tabla Impacto'!$D$11),"Leve",IF(OR(K29='Tabla Impacto'!$C$12,K29='Tabla Impacto'!$D$12),"Menor",IF(OR(K29='Tabla Impacto'!$C$13,K29='Tabla Impacto'!$D$13),"Moderado",IF(OR(K29='Tabla Impacto'!$C$14,K29='Tabla Impacto'!$D$14),"Mayor",IF(OR(K29='Tabla Impacto'!$C$15,K29='Tabla Impacto'!$D$15),"Catastrófico","")))))</f>
        <v/>
      </c>
      <c r="M29" s="126" t="str">
        <f ca="1">IF(L29="","",IF(L29="Leve",0.2,IF(L29="Menor",0.4,IF(L29="Moderado",0.6,IF(L29="Mayor",0.8,IF(L29="Catastrófico",1,))))))</f>
        <v/>
      </c>
      <c r="N29" s="128"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06"/>
      <c r="P29" s="130"/>
      <c r="Q29" s="110" t="str">
        <f t="shared" si="0"/>
        <v/>
      </c>
      <c r="R29" s="108"/>
      <c r="S29" s="108"/>
      <c r="T29" s="111" t="str">
        <f t="shared" si="1"/>
        <v/>
      </c>
      <c r="U29" s="108"/>
      <c r="V29" s="108"/>
      <c r="W29" s="108"/>
      <c r="X29" s="112" t="str">
        <f t="shared" si="7"/>
        <v/>
      </c>
      <c r="Y29" s="113" t="str">
        <f t="shared" si="2"/>
        <v/>
      </c>
      <c r="Z29" s="111" t="str">
        <f t="shared" si="3"/>
        <v/>
      </c>
      <c r="AA29" s="113" t="str">
        <f t="shared" si="4"/>
        <v/>
      </c>
      <c r="AB29" s="111" t="str">
        <f t="shared" si="8"/>
        <v/>
      </c>
      <c r="AC29" s="114" t="str">
        <f t="shared" si="5"/>
        <v/>
      </c>
      <c r="AD29" s="123"/>
      <c r="AE29" s="108"/>
      <c r="AF29" s="107"/>
      <c r="AG29" s="107"/>
      <c r="AH29" s="109"/>
      <c r="AI29" s="109"/>
      <c r="AJ29" s="107"/>
      <c r="AK29" s="106"/>
    </row>
    <row r="30" spans="1:37" ht="16.5" hidden="1" customHeight="1" x14ac:dyDescent="0.2">
      <c r="A30" s="115"/>
      <c r="B30" s="124"/>
      <c r="C30" s="124"/>
      <c r="D30" s="124"/>
      <c r="E30" s="124"/>
      <c r="F30" s="124"/>
      <c r="G30" s="129"/>
      <c r="H30" s="127" t="str">
        <f>IF(G30&lt;=0,"",IF(G30&lt;=2,"Muy Baja",IF(G30&lt;=24,"Baja",IF(G30&lt;=500,"Media",IF(G30&lt;=5000,"Alta","Muy Alta")))))</f>
        <v/>
      </c>
      <c r="I30" s="126" t="str">
        <f>IF(H30="","",IF(H30="Muy Baja",0.2,IF(H30="Baja",0.4,IF(H30="Media",0.6,IF(H30="Alta",0.8,IF(H30="Muy Alta",1,))))))</f>
        <v/>
      </c>
      <c r="J30" s="125"/>
      <c r="K30" s="126">
        <f ca="1">IF(NOT(ISERROR(MATCH(J30,'Tabla Impacto'!$B$221:$B$223,0))),'Tabla Impacto'!$F$223&amp;"Por favor no seleccionar los criterios de impacto(Afectación Económica o presupuestal y Pérdida Reputacional)",J30)</f>
        <v>0</v>
      </c>
      <c r="L30" s="127" t="str">
        <f ca="1">IF(OR(K30='Tabla Impacto'!$C$11,K30='Tabla Impacto'!$D$11),"Leve",IF(OR(K30='Tabla Impacto'!$C$12,K30='Tabla Impacto'!$D$12),"Menor",IF(OR(K30='Tabla Impacto'!$C$13,K30='Tabla Impacto'!$D$13),"Moderado",IF(OR(K30='Tabla Impacto'!$C$14,K30='Tabla Impacto'!$D$14),"Mayor",IF(OR(K30='Tabla Impacto'!$C$15,K30='Tabla Impacto'!$D$15),"Catastrófico","")))))</f>
        <v/>
      </c>
      <c r="M30" s="126" t="str">
        <f ca="1">IF(L30="","",IF(L30="Leve",0.2,IF(L30="Menor",0.4,IF(L30="Moderado",0.6,IF(L30="Mayor",0.8,IF(L30="Catastrófico",1,))))))</f>
        <v/>
      </c>
      <c r="N30" s="128" t="str">
        <f ca="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c r="P30" s="130"/>
      <c r="Q30" s="110" t="str">
        <f t="shared" si="0"/>
        <v/>
      </c>
      <c r="R30" s="108"/>
      <c r="S30" s="108"/>
      <c r="T30" s="111" t="str">
        <f t="shared" si="1"/>
        <v/>
      </c>
      <c r="U30" s="108"/>
      <c r="V30" s="108"/>
      <c r="W30" s="108"/>
      <c r="X30" s="112" t="str">
        <f t="shared" si="7"/>
        <v/>
      </c>
      <c r="Y30" s="113" t="str">
        <f t="shared" si="2"/>
        <v/>
      </c>
      <c r="Z30" s="111" t="str">
        <f t="shared" si="3"/>
        <v/>
      </c>
      <c r="AA30" s="113" t="str">
        <f t="shared" si="4"/>
        <v/>
      </c>
      <c r="AB30" s="111" t="str">
        <f t="shared" si="8"/>
        <v/>
      </c>
      <c r="AC30" s="114" t="str">
        <f t="shared" si="5"/>
        <v/>
      </c>
      <c r="AD30" s="123"/>
      <c r="AE30" s="108"/>
      <c r="AF30" s="107"/>
      <c r="AG30" s="107"/>
      <c r="AH30" s="109"/>
      <c r="AI30" s="109"/>
      <c r="AJ30" s="107"/>
      <c r="AK30" s="106"/>
    </row>
    <row r="31" spans="1:37" x14ac:dyDescent="0.2">
      <c r="A31" s="177">
        <v>4</v>
      </c>
      <c r="B31" s="178"/>
      <c r="C31" s="181"/>
      <c r="D31" s="181"/>
      <c r="E31" s="181"/>
      <c r="F31" s="181"/>
      <c r="G31" s="177"/>
      <c r="H31" s="175" t="str">
        <f>IF(G31&lt;=0,"",IF(G31&lt;=2,"Muy Baja",IF(G31&lt;=24,"Baja",IF(G31&lt;=500,"Media",IF(G31&lt;=5000,"Alta","Muy Alta")))))</f>
        <v/>
      </c>
      <c r="I31" s="173" t="str">
        <f>IF(H31="","",IF(H31="Muy Baja",0.2,IF(H31="Baja",0.4,IF(H31="Media",0.6,IF(H31="Alta",0.8,IF(H31="Muy Alta",1,))))))</f>
        <v/>
      </c>
      <c r="J31" s="171"/>
      <c r="K31" s="173">
        <f>IF(NOT(ISERROR(MATCH(J31,'[1]Tabla Impacto'!$B$221:$B$223,0))),'[1]Tabla Impacto'!$F$223&amp;"Por favor no seleccionar los criterios de impacto(Afectación Económica o presupuestal y Pérdida Reputacional)",J31)</f>
        <v>0</v>
      </c>
      <c r="L31" s="175" t="str">
        <f>IF(OR(K31='[1]Tabla Impacto'!$C$11,K31='[1]Tabla Impacto'!$D$11),"Leve",IF(OR(K31='[1]Tabla Impacto'!$C$12,K31='[1]Tabla Impacto'!$D$12),"Menor",IF(OR(K31='[1]Tabla Impacto'!$C$13,K31='[1]Tabla Impacto'!$D$13),"Moderado",IF(OR(K31='[1]Tabla Impacto'!$C$14,K31='[1]Tabla Impacto'!$D$14),"Mayor",IF(OR(K31='[1]Tabla Impacto'!$C$15,K31='[1]Tabla Impacto'!$D$15),"Catastrófico","")))))</f>
        <v/>
      </c>
      <c r="M31" s="173" t="str">
        <f>IF(L31="","",IF(L31="Leve",0.2,IF(L31="Menor",0.4,IF(L31="Moderado",0.6,IF(L31="Mayor",0.8,IF(L31="Catastrófico",1,))))))</f>
        <v/>
      </c>
      <c r="N31" s="176"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06">
        <v>1</v>
      </c>
      <c r="P31" s="130"/>
      <c r="Q31" s="110" t="str">
        <f t="shared" si="0"/>
        <v/>
      </c>
      <c r="R31" s="108"/>
      <c r="S31" s="108"/>
      <c r="T31" s="111" t="str">
        <f t="shared" ref="T31:T33" si="11">IF(AND(R31="Preventivo",S31="Automático"),"50%",IF(AND(R31="Preventivo",S31="Manual"),"40%",IF(AND(R31="Detectivo",S31="Automático"),"40%",IF(AND(R31="Detectivo",S31="Manual"),"30%",IF(AND(R31="Correctivo",S31="Automático"),"35%",IF(AND(R31="Correctivo",S31="Manual"),"25%",""))))))</f>
        <v/>
      </c>
      <c r="U31" s="131"/>
      <c r="V31" s="131"/>
      <c r="W31" s="131"/>
      <c r="X31" s="112" t="str">
        <f>IFERROR(IF(Q31="Probabilidad",(I31-(+I31*T31)),IF(Q31="Impacto",I31,"")),"")</f>
        <v/>
      </c>
      <c r="Y31" s="113" t="str">
        <f t="shared" si="2"/>
        <v/>
      </c>
      <c r="Z31" s="111" t="str">
        <f t="shared" si="3"/>
        <v/>
      </c>
      <c r="AA31" s="113" t="str">
        <f t="shared" si="4"/>
        <v/>
      </c>
      <c r="AB31" s="111" t="str">
        <f>IFERROR(IF(Q31="Impacto",(M31-(+M31*T31)),IF(Q31="Probabilidad",M31,"")),"")</f>
        <v/>
      </c>
      <c r="AC31" s="114" t="str">
        <f t="shared" si="5"/>
        <v/>
      </c>
      <c r="AD31" s="201" t="b">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0</v>
      </c>
      <c r="AE31" s="142"/>
      <c r="AF31" s="107"/>
      <c r="AG31" s="107"/>
      <c r="AH31" s="109"/>
      <c r="AI31" s="109"/>
      <c r="AJ31" s="107"/>
      <c r="AK31" s="106"/>
    </row>
    <row r="32" spans="1:37" x14ac:dyDescent="0.2">
      <c r="A32" s="172"/>
      <c r="B32" s="179"/>
      <c r="C32" s="181"/>
      <c r="D32" s="181"/>
      <c r="E32" s="172"/>
      <c r="F32" s="172"/>
      <c r="G32" s="172"/>
      <c r="H32" s="174"/>
      <c r="I32" s="174"/>
      <c r="J32" s="172"/>
      <c r="K32" s="174"/>
      <c r="L32" s="174"/>
      <c r="M32" s="174"/>
      <c r="N32" s="174"/>
      <c r="O32" s="106">
        <v>2</v>
      </c>
      <c r="P32" s="130"/>
      <c r="Q32" s="110" t="str">
        <f t="shared" si="0"/>
        <v/>
      </c>
      <c r="R32" s="108"/>
      <c r="S32" s="108"/>
      <c r="T32" s="111" t="str">
        <f t="shared" si="11"/>
        <v/>
      </c>
      <c r="U32" s="131"/>
      <c r="V32" s="131"/>
      <c r="W32" s="131"/>
      <c r="X32" s="112" t="str">
        <f>IFERROR(IF(AND(Q31="Probabilidad",Q32="Probabilidad"),(Z31-(+Z31*T32)),IF(Q32="Probabilidad",(I31-(+I31*T32)),IF(Q32="Impacto",Z31,""))),"")</f>
        <v/>
      </c>
      <c r="Y32" s="113" t="str">
        <f t="shared" si="2"/>
        <v/>
      </c>
      <c r="Z32" s="111" t="str">
        <f t="shared" si="3"/>
        <v/>
      </c>
      <c r="AA32" s="113" t="str">
        <f t="shared" si="4"/>
        <v/>
      </c>
      <c r="AB32" s="111" t="str">
        <f>IFERROR(IF(AND(Q31="Impacto",Q32="Impacto"),(AB31-(+AB31*T32)),IF(Q32="Impacto",($M$16-(+$M$16*T32)),IF(Q32="Probabilidad",AB31,""))),"")</f>
        <v/>
      </c>
      <c r="AC32" s="114" t="str">
        <f t="shared" si="5"/>
        <v/>
      </c>
      <c r="AD32" s="202"/>
      <c r="AE32" s="143"/>
      <c r="AF32" s="107"/>
      <c r="AG32" s="107"/>
      <c r="AH32" s="109"/>
      <c r="AI32" s="109"/>
      <c r="AJ32" s="107"/>
      <c r="AK32" s="106"/>
    </row>
    <row r="33" spans="1:37" ht="16.5" customHeight="1" x14ac:dyDescent="0.2">
      <c r="A33" s="172"/>
      <c r="B33" s="180"/>
      <c r="C33" s="181"/>
      <c r="D33" s="181"/>
      <c r="E33" s="172"/>
      <c r="F33" s="172"/>
      <c r="G33" s="172"/>
      <c r="H33" s="174"/>
      <c r="I33" s="174"/>
      <c r="J33" s="172"/>
      <c r="K33" s="174"/>
      <c r="L33" s="174"/>
      <c r="M33" s="174"/>
      <c r="N33" s="174"/>
      <c r="O33" s="106">
        <v>3</v>
      </c>
      <c r="P33" s="130"/>
      <c r="Q33" s="110" t="str">
        <f t="shared" si="0"/>
        <v/>
      </c>
      <c r="R33" s="108"/>
      <c r="S33" s="108"/>
      <c r="T33" s="111" t="str">
        <f t="shared" si="11"/>
        <v/>
      </c>
      <c r="U33" s="131"/>
      <c r="V33" s="131"/>
      <c r="W33" s="131"/>
      <c r="X33" s="112" t="str">
        <f>IFERROR(IF(AND(Q32="Probabilidad",Q33="Probabilidad"),(Z32-(+Z32*T33)),IF(AND(Q32="Impacto",Q33="Probabilidad"),(Z31-(+Z31*T33)),IF(Q33="Impacto",Z32,""))),"")</f>
        <v/>
      </c>
      <c r="Y33" s="113" t="str">
        <f t="shared" si="2"/>
        <v/>
      </c>
      <c r="Z33" s="111" t="str">
        <f t="shared" si="3"/>
        <v/>
      </c>
      <c r="AA33" s="113" t="str">
        <f t="shared" si="4"/>
        <v/>
      </c>
      <c r="AB33" s="111" t="str">
        <f>IFERROR(IF(AND(Q32="Impacto",Q33="Impacto"),(AB32-(+AB32*T33)),IF(AND(Q32="Probabilidad",Q33="Impacto"),(AB31-(+AB31*T33)),IF(Q33="Probabilidad",AB32,""))),"")</f>
        <v/>
      </c>
      <c r="AC33" s="114" t="str">
        <f t="shared" si="5"/>
        <v/>
      </c>
      <c r="AD33" s="203"/>
      <c r="AE33" s="144"/>
      <c r="AF33" s="107"/>
      <c r="AG33" s="107"/>
      <c r="AH33" s="109"/>
      <c r="AI33" s="109"/>
      <c r="AJ33" s="107"/>
      <c r="AK33" s="106"/>
    </row>
    <row r="34" spans="1:37" ht="16.5" hidden="1" customHeight="1" x14ac:dyDescent="0.2">
      <c r="A34" s="115"/>
      <c r="B34" s="124"/>
      <c r="C34" s="124"/>
      <c r="D34" s="124"/>
      <c r="E34" s="124"/>
      <c r="F34" s="124"/>
      <c r="G34" s="129"/>
      <c r="H34" s="127" t="str">
        <f>IF(G34&lt;=0,"",IF(G34&lt;=2,"Muy Baja",IF(G34&lt;=24,"Baja",IF(G34&lt;=500,"Media",IF(G34&lt;=5000,"Alta","Muy Alta")))))</f>
        <v/>
      </c>
      <c r="I34" s="126" t="str">
        <f>IF(H34="","",IF(H34="Muy Baja",0.2,IF(H34="Baja",0.4,IF(H34="Media",0.6,IF(H34="Alta",0.8,IF(H34="Muy Alta",1,))))))</f>
        <v/>
      </c>
      <c r="J34" s="125"/>
      <c r="K34" s="126">
        <f ca="1">IF(NOT(ISERROR(MATCH(J34,'Tabla Impacto'!$B$221:$B$223,0))),'Tabla Impacto'!$F$223&amp;"Por favor no seleccionar los criterios de impacto(Afectación Económica o presupuestal y Pérdida Reputacional)",J34)</f>
        <v>0</v>
      </c>
      <c r="L34" s="127" t="str">
        <f ca="1">IF(OR(K34='Tabla Impacto'!$C$11,K34='Tabla Impacto'!$D$11),"Leve",IF(OR(K34='Tabla Impacto'!$C$12,K34='Tabla Impacto'!$D$12),"Menor",IF(OR(K34='Tabla Impacto'!$C$13,K34='Tabla Impacto'!$D$13),"Moderado",IF(OR(K34='Tabla Impacto'!$C$14,K34='Tabla Impacto'!$D$14),"Mayor",IF(OR(K34='Tabla Impacto'!$C$15,K34='Tabla Impacto'!$D$15),"Catastrófico","")))))</f>
        <v/>
      </c>
      <c r="M34" s="126" t="str">
        <f ca="1">IF(L34="","",IF(L34="Leve",0.2,IF(L34="Menor",0.4,IF(L34="Moderado",0.6,IF(L34="Mayor",0.8,IF(L34="Catastrófico",1,))))))</f>
        <v/>
      </c>
      <c r="N34" s="12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6"/>
      <c r="P34" s="130"/>
      <c r="Q34" s="110" t="str">
        <f t="shared" si="0"/>
        <v/>
      </c>
      <c r="R34" s="108"/>
      <c r="S34" s="108"/>
      <c r="T34" s="111" t="str">
        <f t="shared" si="1"/>
        <v/>
      </c>
      <c r="U34" s="108"/>
      <c r="V34" s="108"/>
      <c r="W34" s="108"/>
      <c r="X34" s="112" t="str">
        <f t="shared" si="7"/>
        <v/>
      </c>
      <c r="Y34" s="113" t="str">
        <f t="shared" si="2"/>
        <v/>
      </c>
      <c r="Z34" s="111" t="str">
        <f t="shared" si="3"/>
        <v/>
      </c>
      <c r="AA34" s="113" t="str">
        <f t="shared" si="4"/>
        <v/>
      </c>
      <c r="AB34" s="111" t="str">
        <f t="shared" si="8"/>
        <v/>
      </c>
      <c r="AC34" s="114" t="str">
        <f t="shared" si="5"/>
        <v/>
      </c>
      <c r="AD34" s="123"/>
      <c r="AE34" s="108"/>
      <c r="AF34" s="107"/>
      <c r="AG34" s="107"/>
      <c r="AH34" s="109"/>
      <c r="AI34" s="109"/>
      <c r="AJ34" s="107"/>
      <c r="AK34" s="106"/>
    </row>
    <row r="35" spans="1:37" ht="16.5" hidden="1" customHeight="1" x14ac:dyDescent="0.2">
      <c r="A35" s="115"/>
      <c r="B35" s="124"/>
      <c r="C35" s="124"/>
      <c r="D35" s="124"/>
      <c r="E35" s="124"/>
      <c r="F35" s="124"/>
      <c r="G35" s="129"/>
      <c r="H35" s="127" t="str">
        <f>IF(G35&lt;=0,"",IF(G35&lt;=2,"Muy Baja",IF(G35&lt;=24,"Baja",IF(G35&lt;=500,"Media",IF(G35&lt;=5000,"Alta","Muy Alta")))))</f>
        <v/>
      </c>
      <c r="I35" s="126" t="str">
        <f>IF(H35="","",IF(H35="Muy Baja",0.2,IF(H35="Baja",0.4,IF(H35="Media",0.6,IF(H35="Alta",0.8,IF(H35="Muy Alta",1,))))))</f>
        <v/>
      </c>
      <c r="J35" s="125"/>
      <c r="K35" s="126">
        <f ca="1">IF(NOT(ISERROR(MATCH(J35,'Tabla Impacto'!$B$221:$B$223,0))),'Tabla Impacto'!$F$223&amp;"Por favor no seleccionar los criterios de impacto(Afectación Económica o presupuestal y Pérdida Reputacional)",J35)</f>
        <v>0</v>
      </c>
      <c r="L35" s="127" t="str">
        <f ca="1">IF(OR(K35='Tabla Impacto'!$C$11,K35='Tabla Impacto'!$D$11),"Leve",IF(OR(K35='Tabla Impacto'!$C$12,K35='Tabla Impacto'!$D$12),"Menor",IF(OR(K35='Tabla Impacto'!$C$13,K35='Tabla Impacto'!$D$13),"Moderado",IF(OR(K35='Tabla Impacto'!$C$14,K35='Tabla Impacto'!$D$14),"Mayor",IF(OR(K35='Tabla Impacto'!$C$15,K35='Tabla Impacto'!$D$15),"Catastrófico","")))))</f>
        <v/>
      </c>
      <c r="M35" s="126" t="str">
        <f ca="1">IF(L35="","",IF(L35="Leve",0.2,IF(L35="Menor",0.4,IF(L35="Moderado",0.6,IF(L35="Mayor",0.8,IF(L35="Catastrófico",1,))))))</f>
        <v/>
      </c>
      <c r="N35" s="128"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06"/>
      <c r="P35" s="130"/>
      <c r="Q35" s="110" t="str">
        <f t="shared" si="0"/>
        <v/>
      </c>
      <c r="R35" s="108"/>
      <c r="S35" s="108"/>
      <c r="T35" s="111" t="str">
        <f t="shared" si="1"/>
        <v/>
      </c>
      <c r="U35" s="108"/>
      <c r="V35" s="108"/>
      <c r="W35" s="108"/>
      <c r="X35" s="112" t="str">
        <f t="shared" si="7"/>
        <v/>
      </c>
      <c r="Y35" s="113" t="str">
        <f t="shared" si="2"/>
        <v/>
      </c>
      <c r="Z35" s="111" t="str">
        <f t="shared" si="3"/>
        <v/>
      </c>
      <c r="AA35" s="113" t="str">
        <f t="shared" si="4"/>
        <v/>
      </c>
      <c r="AB35" s="111" t="str">
        <f t="shared" si="8"/>
        <v/>
      </c>
      <c r="AC35" s="114" t="str">
        <f t="shared" si="5"/>
        <v/>
      </c>
      <c r="AD35" s="121"/>
      <c r="AE35" s="108"/>
      <c r="AF35" s="107"/>
      <c r="AG35" s="107"/>
      <c r="AH35" s="109"/>
      <c r="AI35" s="109"/>
      <c r="AJ35" s="107"/>
      <c r="AK35" s="106"/>
    </row>
    <row r="36" spans="1:37" x14ac:dyDescent="0.2">
      <c r="A36" s="177">
        <v>5</v>
      </c>
      <c r="B36" s="178"/>
      <c r="C36" s="181"/>
      <c r="D36" s="181"/>
      <c r="E36" s="181"/>
      <c r="F36" s="181"/>
      <c r="G36" s="177"/>
      <c r="H36" s="175" t="str">
        <f>IF(G36&lt;=0,"",IF(G36&lt;=2,"Muy Baja",IF(G36&lt;=24,"Baja",IF(G36&lt;=500,"Media",IF(G36&lt;=5000,"Alta","Muy Alta")))))</f>
        <v/>
      </c>
      <c r="I36" s="173" t="str">
        <f>IF(H36="","",IF(H36="Muy Baja",0.2,IF(H36="Baja",0.4,IF(H36="Media",0.6,IF(H36="Alta",0.8,IF(H36="Muy Alta",1,))))))</f>
        <v/>
      </c>
      <c r="J36" s="171"/>
      <c r="K36" s="173">
        <f>IF(NOT(ISERROR(MATCH(J36,'[1]Tabla Impacto'!$B$221:$B$223,0))),'[1]Tabla Impacto'!$F$223&amp;"Por favor no seleccionar los criterios de impacto(Afectación Económica o presupuestal y Pérdida Reputacional)",J36)</f>
        <v>0</v>
      </c>
      <c r="L36" s="175" t="str">
        <f>IF(OR(K36='[1]Tabla Impacto'!$C$11,K36='[1]Tabla Impacto'!$D$11),"Leve",IF(OR(K36='[1]Tabla Impacto'!$C$12,K36='[1]Tabla Impacto'!$D$12),"Menor",IF(OR(K36='[1]Tabla Impacto'!$C$13,K36='[1]Tabla Impacto'!$D$13),"Moderado",IF(OR(K36='[1]Tabla Impacto'!$C$14,K36='[1]Tabla Impacto'!$D$14),"Mayor",IF(OR(K36='[1]Tabla Impacto'!$C$15,K36='[1]Tabla Impacto'!$D$15),"Catastrófico","")))))</f>
        <v/>
      </c>
      <c r="M36" s="173" t="str">
        <f>IF(L36="","",IF(L36="Leve",0.2,IF(L36="Menor",0.4,IF(L36="Moderado",0.6,IF(L36="Mayor",0.8,IF(L36="Catastrófico",1,))))))</f>
        <v/>
      </c>
      <c r="N36" s="176"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30"/>
      <c r="Q36" s="110" t="str">
        <f t="shared" si="0"/>
        <v/>
      </c>
      <c r="R36" s="108"/>
      <c r="S36" s="108"/>
      <c r="T36" s="111" t="str">
        <f t="shared" ref="T36:T38" si="12">IF(AND(R36="Preventivo",S36="Automático"),"50%",IF(AND(R36="Preventivo",S36="Manual"),"40%",IF(AND(R36="Detectivo",S36="Automático"),"40%",IF(AND(R36="Detectivo",S36="Manual"),"30%",IF(AND(R36="Correctivo",S36="Automático"),"35%",IF(AND(R36="Correctivo",S36="Manual"),"25%",""))))))</f>
        <v/>
      </c>
      <c r="U36" s="131"/>
      <c r="V36" s="131"/>
      <c r="W36" s="131"/>
      <c r="X36" s="112" t="str">
        <f>IFERROR(IF(Q36="Probabilidad",(I36-(+I36*T36)),IF(Q36="Impacto",I36,"")),"")</f>
        <v/>
      </c>
      <c r="Y36" s="113" t="str">
        <f t="shared" si="2"/>
        <v/>
      </c>
      <c r="Z36" s="111" t="str">
        <f t="shared" si="3"/>
        <v/>
      </c>
      <c r="AA36" s="113" t="str">
        <f t="shared" si="4"/>
        <v/>
      </c>
      <c r="AB36" s="111" t="str">
        <f>IFERROR(IF(Q36="Impacto",(M36-(+M36*T36)),IF(Q36="Probabilidad",M36,"")),"")</f>
        <v/>
      </c>
      <c r="AC36" s="114" t="str">
        <f t="shared" si="5"/>
        <v/>
      </c>
      <c r="AD36" s="201" t="b">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0</v>
      </c>
      <c r="AE36" s="142"/>
      <c r="AF36" s="107"/>
      <c r="AG36" s="107"/>
      <c r="AH36" s="109"/>
      <c r="AI36" s="109"/>
      <c r="AJ36" s="107"/>
      <c r="AK36" s="106"/>
    </row>
    <row r="37" spans="1:37" x14ac:dyDescent="0.2">
      <c r="A37" s="172"/>
      <c r="B37" s="179"/>
      <c r="C37" s="181"/>
      <c r="D37" s="181"/>
      <c r="E37" s="172"/>
      <c r="F37" s="172"/>
      <c r="G37" s="172"/>
      <c r="H37" s="174"/>
      <c r="I37" s="174"/>
      <c r="J37" s="172"/>
      <c r="K37" s="174"/>
      <c r="L37" s="174"/>
      <c r="M37" s="174"/>
      <c r="N37" s="174"/>
      <c r="O37" s="106">
        <v>2</v>
      </c>
      <c r="P37" s="130"/>
      <c r="Q37" s="110" t="str">
        <f t="shared" si="0"/>
        <v/>
      </c>
      <c r="R37" s="108"/>
      <c r="S37" s="108"/>
      <c r="T37" s="111" t="str">
        <f t="shared" si="12"/>
        <v/>
      </c>
      <c r="U37" s="131"/>
      <c r="V37" s="131"/>
      <c r="W37" s="131"/>
      <c r="X37" s="112" t="str">
        <f>IFERROR(IF(AND(Q36="Probabilidad",Q37="Probabilidad"),(Z36-(+Z36*T37)),IF(Q37="Probabilidad",(I36-(+I36*T37)),IF(Q37="Impacto",Z36,""))),"")</f>
        <v/>
      </c>
      <c r="Y37" s="113" t="str">
        <f t="shared" si="2"/>
        <v/>
      </c>
      <c r="Z37" s="111" t="str">
        <f t="shared" si="3"/>
        <v/>
      </c>
      <c r="AA37" s="113" t="str">
        <f t="shared" si="4"/>
        <v/>
      </c>
      <c r="AB37" s="111" t="str">
        <f>IFERROR(IF(AND(Q36="Impacto",Q37="Impacto"),(AB36-(+AB36*T37)),IF(Q37="Impacto",($M$16-(+$M$16*T37)),IF(Q37="Probabilidad",AB36,""))),"")</f>
        <v/>
      </c>
      <c r="AC37" s="114" t="str">
        <f t="shared" si="5"/>
        <v/>
      </c>
      <c r="AD37" s="202"/>
      <c r="AE37" s="143"/>
      <c r="AF37" s="107"/>
      <c r="AG37" s="107"/>
      <c r="AH37" s="109"/>
      <c r="AI37" s="109"/>
      <c r="AJ37" s="107"/>
      <c r="AK37" s="106"/>
    </row>
    <row r="38" spans="1:37" x14ac:dyDescent="0.2">
      <c r="A38" s="172"/>
      <c r="B38" s="180"/>
      <c r="C38" s="181"/>
      <c r="D38" s="181"/>
      <c r="E38" s="172"/>
      <c r="F38" s="172"/>
      <c r="G38" s="172"/>
      <c r="H38" s="174"/>
      <c r="I38" s="174"/>
      <c r="J38" s="172"/>
      <c r="K38" s="174"/>
      <c r="L38" s="174"/>
      <c r="M38" s="174"/>
      <c r="N38" s="174"/>
      <c r="O38" s="106">
        <v>3</v>
      </c>
      <c r="P38" s="130"/>
      <c r="Q38" s="110" t="str">
        <f t="shared" si="0"/>
        <v/>
      </c>
      <c r="R38" s="108"/>
      <c r="S38" s="108"/>
      <c r="T38" s="111" t="str">
        <f t="shared" si="12"/>
        <v/>
      </c>
      <c r="U38" s="131"/>
      <c r="V38" s="131"/>
      <c r="W38" s="131"/>
      <c r="X38" s="112" t="str">
        <f>IFERROR(IF(AND(Q37="Probabilidad",Q38="Probabilidad"),(Z37-(+Z37*T38)),IF(AND(Q37="Impacto",Q38="Probabilidad"),(Z36-(+Z36*T38)),IF(Q38="Impacto",Z37,""))),"")</f>
        <v/>
      </c>
      <c r="Y38" s="113" t="str">
        <f t="shared" si="2"/>
        <v/>
      </c>
      <c r="Z38" s="111" t="str">
        <f t="shared" si="3"/>
        <v/>
      </c>
      <c r="AA38" s="113" t="str">
        <f t="shared" si="4"/>
        <v/>
      </c>
      <c r="AB38" s="111" t="str">
        <f>IFERROR(IF(AND(Q37="Impacto",Q38="Impacto"),(AB37-(+AB37*T38)),IF(AND(Q37="Probabilidad",Q38="Impacto"),(AB36-(+AB36*T38)),IF(Q38="Probabilidad",AB37,""))),"")</f>
        <v/>
      </c>
      <c r="AC38" s="114" t="str">
        <f t="shared" si="5"/>
        <v/>
      </c>
      <c r="AD38" s="203"/>
      <c r="AE38" s="144"/>
      <c r="AF38" s="107"/>
      <c r="AG38" s="107"/>
      <c r="AH38" s="109"/>
      <c r="AI38" s="109"/>
      <c r="AJ38" s="107"/>
      <c r="AK38" s="106"/>
    </row>
    <row r="39" spans="1:37" ht="16.5" hidden="1" customHeight="1" x14ac:dyDescent="0.2">
      <c r="A39" s="115"/>
      <c r="B39" s="124"/>
      <c r="C39" s="124"/>
      <c r="D39" s="124"/>
      <c r="E39" s="124"/>
      <c r="F39" s="124"/>
      <c r="G39" s="129"/>
      <c r="H39" s="127" t="str">
        <f>IF(G39&lt;=0,"",IF(G39&lt;=2,"Muy Baja",IF(G39&lt;=24,"Baja",IF(G39&lt;=500,"Media",IF(G39&lt;=5000,"Alta","Muy Alta")))))</f>
        <v/>
      </c>
      <c r="I39" s="126" t="str">
        <f>IF(H39="","",IF(H39="Muy Baja",0.2,IF(H39="Baja",0.4,IF(H39="Media",0.6,IF(H39="Alta",0.8,IF(H39="Muy Alta",1,))))))</f>
        <v/>
      </c>
      <c r="J39" s="125"/>
      <c r="K39" s="126">
        <f ca="1">IF(NOT(ISERROR(MATCH(J39,'Tabla Impacto'!$B$221:$B$223,0))),'Tabla Impacto'!$F$223&amp;"Por favor no seleccionar los criterios de impacto(Afectación Económica o presupuestal y Pérdida Reputacional)",J39)</f>
        <v>0</v>
      </c>
      <c r="L39" s="127" t="str">
        <f ca="1">IF(OR(K39='Tabla Impacto'!$C$11,K39='Tabla Impacto'!$D$11),"Leve",IF(OR(K39='Tabla Impacto'!$C$12,K39='Tabla Impacto'!$D$12),"Menor",IF(OR(K39='Tabla Impacto'!$C$13,K39='Tabla Impacto'!$D$13),"Moderado",IF(OR(K39='Tabla Impacto'!$C$14,K39='Tabla Impacto'!$D$14),"Mayor",IF(OR(K39='Tabla Impacto'!$C$15,K39='Tabla Impacto'!$D$15),"Catastrófico","")))))</f>
        <v/>
      </c>
      <c r="M39" s="126" t="str">
        <f ca="1">IF(L39="","",IF(L39="Leve",0.2,IF(L39="Menor",0.4,IF(L39="Moderado",0.6,IF(L39="Mayor",0.8,IF(L39="Catastrófico",1,))))))</f>
        <v/>
      </c>
      <c r="N39" s="12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c r="P39" s="130"/>
      <c r="Q39" s="110" t="str">
        <f t="shared" si="0"/>
        <v/>
      </c>
      <c r="R39" s="108"/>
      <c r="S39" s="108"/>
      <c r="T39" s="111" t="str">
        <f t="shared" si="1"/>
        <v/>
      </c>
      <c r="U39" s="108"/>
      <c r="V39" s="108"/>
      <c r="W39" s="108"/>
      <c r="X39" s="112" t="str">
        <f t="shared" si="7"/>
        <v/>
      </c>
      <c r="Y39" s="113" t="str">
        <f t="shared" si="2"/>
        <v/>
      </c>
      <c r="Z39" s="111" t="str">
        <f t="shared" si="3"/>
        <v/>
      </c>
      <c r="AA39" s="113" t="str">
        <f t="shared" si="4"/>
        <v/>
      </c>
      <c r="AB39" s="111" t="str">
        <f t="shared" si="8"/>
        <v/>
      </c>
      <c r="AC39" s="114" t="str">
        <f t="shared" si="5"/>
        <v/>
      </c>
      <c r="AD39" s="123"/>
      <c r="AE39" s="108"/>
      <c r="AF39" s="107"/>
      <c r="AG39" s="107"/>
      <c r="AH39" s="109"/>
      <c r="AI39" s="109"/>
      <c r="AJ39" s="107"/>
      <c r="AK39" s="106"/>
    </row>
    <row r="40" spans="1:37" ht="16.5" hidden="1" customHeight="1" x14ac:dyDescent="0.2">
      <c r="A40" s="115"/>
      <c r="B40" s="124"/>
      <c r="C40" s="124"/>
      <c r="D40" s="124"/>
      <c r="E40" s="124"/>
      <c r="F40" s="124"/>
      <c r="G40" s="129"/>
      <c r="H40" s="127" t="str">
        <f>IF(G40&lt;=0,"",IF(G40&lt;=2,"Muy Baja",IF(G40&lt;=24,"Baja",IF(G40&lt;=500,"Media",IF(G40&lt;=5000,"Alta","Muy Alta")))))</f>
        <v/>
      </c>
      <c r="I40" s="126" t="str">
        <f>IF(H40="","",IF(H40="Muy Baja",0.2,IF(H40="Baja",0.4,IF(H40="Media",0.6,IF(H40="Alta",0.8,IF(H40="Muy Alta",1,))))))</f>
        <v/>
      </c>
      <c r="J40" s="125"/>
      <c r="K40" s="126">
        <f ca="1">IF(NOT(ISERROR(MATCH(J40,'Tabla Impacto'!$B$221:$B$223,0))),'Tabla Impacto'!$F$223&amp;"Por favor no seleccionar los criterios de impacto(Afectación Económica o presupuestal y Pérdida Reputacional)",J40)</f>
        <v>0</v>
      </c>
      <c r="L40" s="127" t="str">
        <f ca="1">IF(OR(K40='Tabla Impacto'!$C$11,K40='Tabla Impacto'!$D$11),"Leve",IF(OR(K40='Tabla Impacto'!$C$12,K40='Tabla Impacto'!$D$12),"Menor",IF(OR(K40='Tabla Impacto'!$C$13,K40='Tabla Impacto'!$D$13),"Moderado",IF(OR(K40='Tabla Impacto'!$C$14,K40='Tabla Impacto'!$D$14),"Mayor",IF(OR(K40='Tabla Impacto'!$C$15,K40='Tabla Impacto'!$D$15),"Catastrófico","")))))</f>
        <v/>
      </c>
      <c r="M40" s="126" t="str">
        <f ca="1">IF(L40="","",IF(L40="Leve",0.2,IF(L40="Menor",0.4,IF(L40="Moderado",0.6,IF(L40="Mayor",0.8,IF(L40="Catastrófico",1,))))))</f>
        <v/>
      </c>
      <c r="N40" s="12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6"/>
      <c r="P40" s="130"/>
      <c r="Q40" s="110" t="str">
        <f t="shared" si="0"/>
        <v/>
      </c>
      <c r="R40" s="108"/>
      <c r="S40" s="108"/>
      <c r="T40" s="111" t="str">
        <f t="shared" si="1"/>
        <v/>
      </c>
      <c r="U40" s="108"/>
      <c r="V40" s="108"/>
      <c r="W40" s="108"/>
      <c r="X40" s="112" t="str">
        <f t="shared" si="7"/>
        <v/>
      </c>
      <c r="Y40" s="113" t="str">
        <f t="shared" si="2"/>
        <v/>
      </c>
      <c r="Z40" s="111" t="str">
        <f t="shared" si="3"/>
        <v/>
      </c>
      <c r="AA40" s="113" t="str">
        <f t="shared" si="4"/>
        <v/>
      </c>
      <c r="AB40" s="111" t="str">
        <f t="shared" si="8"/>
        <v/>
      </c>
      <c r="AC40" s="114" t="str">
        <f t="shared" si="5"/>
        <v/>
      </c>
      <c r="AD40" s="121"/>
      <c r="AE40" s="108"/>
      <c r="AF40" s="107"/>
      <c r="AG40" s="107"/>
      <c r="AH40" s="109"/>
      <c r="AI40" s="109"/>
      <c r="AJ40" s="107"/>
      <c r="AK40" s="106"/>
    </row>
    <row r="41" spans="1:37" x14ac:dyDescent="0.2">
      <c r="A41" s="177">
        <v>6</v>
      </c>
      <c r="B41" s="178"/>
      <c r="C41" s="181"/>
      <c r="D41" s="181"/>
      <c r="E41" s="181"/>
      <c r="F41" s="181"/>
      <c r="G41" s="177"/>
      <c r="H41" s="175" t="str">
        <f>IF(G41&lt;=0,"",IF(G41&lt;=2,"Muy Baja",IF(G41&lt;=24,"Baja",IF(G41&lt;=500,"Media",IF(G41&lt;=5000,"Alta","Muy Alta")))))</f>
        <v/>
      </c>
      <c r="I41" s="173" t="str">
        <f>IF(H41="","",IF(H41="Muy Baja",0.2,IF(H41="Baja",0.4,IF(H41="Media",0.6,IF(H41="Alta",0.8,IF(H41="Muy Alta",1,))))))</f>
        <v/>
      </c>
      <c r="J41" s="171"/>
      <c r="K41" s="173">
        <f>IF(NOT(ISERROR(MATCH(J41,'[1]Tabla Impacto'!$B$221:$B$223,0))),'[1]Tabla Impacto'!$F$223&amp;"Por favor no seleccionar los criterios de impacto(Afectación Económica o presupuestal y Pérdida Reputacional)",J41)</f>
        <v>0</v>
      </c>
      <c r="L41" s="175" t="str">
        <f>IF(OR(K41='[1]Tabla Impacto'!$C$11,K41='[1]Tabla Impacto'!$D$11),"Leve",IF(OR(K41='[1]Tabla Impacto'!$C$12,K41='[1]Tabla Impacto'!$D$12),"Menor",IF(OR(K41='[1]Tabla Impacto'!$C$13,K41='[1]Tabla Impacto'!$D$13),"Moderado",IF(OR(K41='[1]Tabla Impacto'!$C$14,K41='[1]Tabla Impacto'!$D$14),"Mayor",IF(OR(K41='[1]Tabla Impacto'!$C$15,K41='[1]Tabla Impacto'!$D$15),"Catastrófico","")))))</f>
        <v/>
      </c>
      <c r="M41" s="173" t="str">
        <f>IF(L41="","",IF(L41="Leve",0.2,IF(L41="Menor",0.4,IF(L41="Moderado",0.6,IF(L41="Mayor",0.8,IF(L41="Catastrófico",1,))))))</f>
        <v/>
      </c>
      <c r="N41" s="176"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106">
        <v>1</v>
      </c>
      <c r="P41" s="130"/>
      <c r="Q41" s="110" t="str">
        <f t="shared" si="0"/>
        <v/>
      </c>
      <c r="R41" s="108"/>
      <c r="S41" s="108"/>
      <c r="T41" s="111" t="str">
        <f t="shared" ref="T41:T43" si="13">IF(AND(R41="Preventivo",S41="Automático"),"50%",IF(AND(R41="Preventivo",S41="Manual"),"40%",IF(AND(R41="Detectivo",S41="Automático"),"40%",IF(AND(R41="Detectivo",S41="Manual"),"30%",IF(AND(R41="Correctivo",S41="Automático"),"35%",IF(AND(R41="Correctivo",S41="Manual"),"25%",""))))))</f>
        <v/>
      </c>
      <c r="U41" s="131"/>
      <c r="V41" s="131"/>
      <c r="W41" s="131"/>
      <c r="X41" s="112" t="str">
        <f>IFERROR(IF(Q41="Probabilidad",(I41-(+I41*T41)),IF(Q41="Impacto",I41,"")),"")</f>
        <v/>
      </c>
      <c r="Y41" s="113" t="str">
        <f t="shared" si="2"/>
        <v/>
      </c>
      <c r="Z41" s="111" t="str">
        <f t="shared" si="3"/>
        <v/>
      </c>
      <c r="AA41" s="113" t="str">
        <f t="shared" si="4"/>
        <v/>
      </c>
      <c r="AB41" s="111" t="str">
        <f>IFERROR(IF(Q41="Impacto",(M41-(+M41*T41)),IF(Q41="Probabilidad",M41,"")),"")</f>
        <v/>
      </c>
      <c r="AC41" s="114" t="str">
        <f t="shared" si="5"/>
        <v/>
      </c>
      <c r="AD41" s="201"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142"/>
      <c r="AF41" s="107"/>
      <c r="AG41" s="107"/>
      <c r="AH41" s="109"/>
      <c r="AI41" s="109"/>
      <c r="AJ41" s="107"/>
      <c r="AK41" s="106"/>
    </row>
    <row r="42" spans="1:37" x14ac:dyDescent="0.2">
      <c r="A42" s="172"/>
      <c r="B42" s="179"/>
      <c r="C42" s="181"/>
      <c r="D42" s="181"/>
      <c r="E42" s="172"/>
      <c r="F42" s="172"/>
      <c r="G42" s="172"/>
      <c r="H42" s="174"/>
      <c r="I42" s="174"/>
      <c r="J42" s="172"/>
      <c r="K42" s="174"/>
      <c r="L42" s="174"/>
      <c r="M42" s="174"/>
      <c r="N42" s="174"/>
      <c r="O42" s="106">
        <v>2</v>
      </c>
      <c r="P42" s="130"/>
      <c r="Q42" s="110" t="str">
        <f t="shared" si="0"/>
        <v/>
      </c>
      <c r="R42" s="108"/>
      <c r="S42" s="108"/>
      <c r="T42" s="111" t="str">
        <f t="shared" si="13"/>
        <v/>
      </c>
      <c r="U42" s="131"/>
      <c r="V42" s="131"/>
      <c r="W42" s="131"/>
      <c r="X42" s="112" t="str">
        <f>IFERROR(IF(AND(Q41="Probabilidad",Q42="Probabilidad"),(Z41-(+Z41*T42)),IF(Q42="Probabilidad",(I41-(+I41*T42)),IF(Q42="Impacto",Z41,""))),"")</f>
        <v/>
      </c>
      <c r="Y42" s="113" t="str">
        <f t="shared" si="2"/>
        <v/>
      </c>
      <c r="Z42" s="111" t="str">
        <f t="shared" si="3"/>
        <v/>
      </c>
      <c r="AA42" s="113" t="str">
        <f t="shared" si="4"/>
        <v/>
      </c>
      <c r="AB42" s="111" t="str">
        <f>IFERROR(IF(AND(Q41="Impacto",Q42="Impacto"),(AB41-(+AB41*T42)),IF(Q42="Impacto",($M$16-(+$M$16*T42)),IF(Q42="Probabilidad",AB41,""))),"")</f>
        <v/>
      </c>
      <c r="AC42" s="114" t="str">
        <f t="shared" si="5"/>
        <v/>
      </c>
      <c r="AD42" s="202"/>
      <c r="AE42" s="143"/>
      <c r="AF42" s="107"/>
      <c r="AG42" s="107"/>
      <c r="AH42" s="109"/>
      <c r="AI42" s="109"/>
      <c r="AJ42" s="107"/>
      <c r="AK42" s="106"/>
    </row>
    <row r="43" spans="1:37" x14ac:dyDescent="0.2">
      <c r="A43" s="172"/>
      <c r="B43" s="180"/>
      <c r="C43" s="181"/>
      <c r="D43" s="181"/>
      <c r="E43" s="172"/>
      <c r="F43" s="172"/>
      <c r="G43" s="172"/>
      <c r="H43" s="174"/>
      <c r="I43" s="174"/>
      <c r="J43" s="172"/>
      <c r="K43" s="174"/>
      <c r="L43" s="174"/>
      <c r="M43" s="174"/>
      <c r="N43" s="174"/>
      <c r="O43" s="106">
        <v>3</v>
      </c>
      <c r="P43" s="130"/>
      <c r="Q43" s="110" t="str">
        <f t="shared" si="0"/>
        <v/>
      </c>
      <c r="R43" s="108"/>
      <c r="S43" s="108"/>
      <c r="T43" s="111" t="str">
        <f t="shared" si="13"/>
        <v/>
      </c>
      <c r="U43" s="131"/>
      <c r="V43" s="131"/>
      <c r="W43" s="131"/>
      <c r="X43" s="112" t="str">
        <f>IFERROR(IF(AND(Q42="Probabilidad",Q43="Probabilidad"),(Z42-(+Z42*T43)),IF(AND(Q42="Impacto",Q43="Probabilidad"),(Z41-(+Z41*T43)),IF(Q43="Impacto",Z42,""))),"")</f>
        <v/>
      </c>
      <c r="Y43" s="113" t="str">
        <f t="shared" si="2"/>
        <v/>
      </c>
      <c r="Z43" s="111" t="str">
        <f t="shared" si="3"/>
        <v/>
      </c>
      <c r="AA43" s="113" t="str">
        <f t="shared" si="4"/>
        <v/>
      </c>
      <c r="AB43" s="111" t="str">
        <f>IFERROR(IF(AND(Q42="Impacto",Q43="Impacto"),(AB42-(+AB42*T43)),IF(AND(Q42="Probabilidad",Q43="Impacto"),(AB41-(+AB41*T43)),IF(Q43="Probabilidad",AB42,""))),"")</f>
        <v/>
      </c>
      <c r="AC43" s="114" t="str">
        <f t="shared" si="5"/>
        <v/>
      </c>
      <c r="AD43" s="203"/>
      <c r="AE43" s="144"/>
      <c r="AF43" s="107"/>
      <c r="AG43" s="107"/>
      <c r="AH43" s="109"/>
      <c r="AI43" s="109"/>
      <c r="AJ43" s="107"/>
      <c r="AK43" s="106"/>
    </row>
    <row r="44" spans="1:37" hidden="1" x14ac:dyDescent="0.2">
      <c r="A44" s="115"/>
      <c r="B44" s="124"/>
      <c r="C44" s="124"/>
      <c r="D44" s="124"/>
      <c r="E44" s="124"/>
      <c r="F44" s="124"/>
      <c r="G44" s="129"/>
      <c r="H44" s="127" t="str">
        <f>IF(G44&lt;=0,"",IF(G44&lt;=2,"Muy Baja",IF(G44&lt;=24,"Baja",IF(G44&lt;=500,"Media",IF(G44&lt;=5000,"Alta","Muy Alta")))))</f>
        <v/>
      </c>
      <c r="I44" s="126" t="str">
        <f>IF(H44="","",IF(H44="Muy Baja",0.2,IF(H44="Baja",0.4,IF(H44="Media",0.6,IF(H44="Alta",0.8,IF(H44="Muy Alta",1,))))))</f>
        <v/>
      </c>
      <c r="J44" s="125"/>
      <c r="K44" s="126">
        <f ca="1">IF(NOT(ISERROR(MATCH(J44,'Tabla Impacto'!$B$221:$B$223,0))),'Tabla Impacto'!$F$223&amp;"Por favor no seleccionar los criterios de impacto(Afectación Económica o presupuestal y Pérdida Reputacional)",J44)</f>
        <v>0</v>
      </c>
      <c r="L44" s="127" t="str">
        <f ca="1">IF(OR(K44='Tabla Impacto'!$C$11,K44='Tabla Impacto'!$D$11),"Leve",IF(OR(K44='Tabla Impacto'!$C$12,K44='Tabla Impacto'!$D$12),"Menor",IF(OR(K44='Tabla Impacto'!$C$13,K44='Tabla Impacto'!$D$13),"Moderado",IF(OR(K44='Tabla Impacto'!$C$14,K44='Tabla Impacto'!$D$14),"Mayor",IF(OR(K44='Tabla Impacto'!$C$15,K44='Tabla Impacto'!$D$15),"Catastrófico","")))))</f>
        <v/>
      </c>
      <c r="M44" s="126" t="str">
        <f ca="1">IF(L44="","",IF(L44="Leve",0.2,IF(L44="Menor",0.4,IF(L44="Moderado",0.6,IF(L44="Mayor",0.8,IF(L44="Catastrófico",1,))))))</f>
        <v/>
      </c>
      <c r="N44" s="128" t="str">
        <f ca="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c r="P44" s="107"/>
      <c r="Q44" s="110"/>
      <c r="R44" s="108"/>
      <c r="S44" s="108"/>
      <c r="T44" s="111" t="str">
        <f t="shared" ref="T44:T45" si="14">IF(AND(R44="Preventivo",S44="Automático"),"50%",IF(AND(R44="Preventivo",S44="Manual"),"40%",IF(AND(R44="Detectivo",S44="Automático"),"40%",IF(AND(R44="Detectivo",S44="Manual"),"30%",IF(AND(R44="Correctivo",S44="Automático"),"35%",IF(AND(R44="Correctivo",S44="Manual"),"25%",""))))))</f>
        <v/>
      </c>
      <c r="U44" s="108"/>
      <c r="V44" s="108"/>
      <c r="W44" s="108"/>
      <c r="X44" s="112" t="str">
        <f t="shared" ref="X44:X45" si="15">IFERROR(IF(Q44="Probabilidad",(I44-(+I44*T44)),IF(Q44="Impacto",I44,"")),"")</f>
        <v/>
      </c>
      <c r="Y44" s="113" t="str">
        <f t="shared" ref="Y44:Y45" si="16">IFERROR(IF(X44="","",IF(X44&lt;=0.2,"Muy Baja",IF(X44&lt;=0.4,"Baja",IF(X44&lt;=0.6,"Media",IF(X44&lt;=0.8,"Alta","Muy Alta"))))),"")</f>
        <v/>
      </c>
      <c r="Z44" s="111" t="str">
        <f t="shared" ref="Z44:Z45" si="17">+X44</f>
        <v/>
      </c>
      <c r="AA44" s="113" t="str">
        <f t="shared" ref="AA44:AA45" si="18">IFERROR(IF(AB44="","",IF(AB44&lt;=0.2,"Leve",IF(AB44&lt;=0.4,"Menor",IF(AB44&lt;=0.6,"Moderado",IF(AB44&lt;=0.8,"Mayor","Catastrófico"))))),"")</f>
        <v/>
      </c>
      <c r="AB44" s="111" t="str">
        <f t="shared" ref="AB44:AB45" si="19">IFERROR(IF(Q44="Impacto",(M44-(+M44*T44)),IF(Q44="Probabilidad",M44,"")),"")</f>
        <v/>
      </c>
      <c r="AC44" s="114" t="str">
        <f t="shared" ref="AC44:AC45" si="2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3"/>
      <c r="AE44" s="108"/>
      <c r="AF44" s="107"/>
      <c r="AG44" s="107"/>
      <c r="AH44" s="109"/>
      <c r="AI44" s="109"/>
      <c r="AJ44" s="107"/>
      <c r="AK44" s="106"/>
    </row>
    <row r="45" spans="1:37" hidden="1" x14ac:dyDescent="0.2">
      <c r="A45" s="115"/>
      <c r="B45" s="124"/>
      <c r="C45" s="124"/>
      <c r="D45" s="124"/>
      <c r="E45" s="124"/>
      <c r="F45" s="124"/>
      <c r="G45" s="129"/>
      <c r="H45" s="127" t="str">
        <f>IF(G45&lt;=0,"",IF(G45&lt;=2,"Muy Baja",IF(G45&lt;=24,"Baja",IF(G45&lt;=500,"Media",IF(G45&lt;=5000,"Alta","Muy Alta")))))</f>
        <v/>
      </c>
      <c r="I45" s="126" t="str">
        <f>IF(H45="","",IF(H45="Muy Baja",0.2,IF(H45="Baja",0.4,IF(H45="Media",0.6,IF(H45="Alta",0.8,IF(H45="Muy Alta",1,))))))</f>
        <v/>
      </c>
      <c r="J45" s="125"/>
      <c r="K45" s="126">
        <f ca="1">IF(NOT(ISERROR(MATCH(J45,'Tabla Impacto'!$B$221:$B$223,0))),'Tabla Impacto'!$F$223&amp;"Por favor no seleccionar los criterios de impacto(Afectación Económica o presupuestal y Pérdida Reputacional)",J45)</f>
        <v>0</v>
      </c>
      <c r="L45" s="127" t="str">
        <f ca="1">IF(OR(K45='Tabla Impacto'!$C$11,K45='Tabla Impacto'!$D$11),"Leve",IF(OR(K45='Tabla Impacto'!$C$12,K45='Tabla Impacto'!$D$12),"Menor",IF(OR(K45='Tabla Impacto'!$C$13,K45='Tabla Impacto'!$D$13),"Moderado",IF(OR(K45='Tabla Impacto'!$C$14,K45='Tabla Impacto'!$D$14),"Mayor",IF(OR(K45='Tabla Impacto'!$C$15,K45='Tabla Impacto'!$D$15),"Catastrófico","")))))</f>
        <v/>
      </c>
      <c r="M45" s="126" t="str">
        <f ca="1">IF(L45="","",IF(L45="Leve",0.2,IF(L45="Menor",0.4,IF(L45="Moderado",0.6,IF(L45="Mayor",0.8,IF(L45="Catastrófico",1,))))))</f>
        <v/>
      </c>
      <c r="N45" s="12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06"/>
      <c r="P45" s="107"/>
      <c r="Q45" s="106" t="str">
        <f t="shared" ref="Q45" si="21">IF(OR(R45="Preventivo",R45="Detectivo"),"Probabilidad",IF(R45="Correctivo","Impacto",""))</f>
        <v/>
      </c>
      <c r="R45" s="108"/>
      <c r="S45" s="108"/>
      <c r="T45" s="111" t="str">
        <f t="shared" si="14"/>
        <v/>
      </c>
      <c r="U45" s="108"/>
      <c r="V45" s="108"/>
      <c r="W45" s="108"/>
      <c r="X45" s="112" t="str">
        <f t="shared" si="15"/>
        <v/>
      </c>
      <c r="Y45" s="113" t="str">
        <f t="shared" si="16"/>
        <v/>
      </c>
      <c r="Z45" s="111" t="str">
        <f t="shared" si="17"/>
        <v/>
      </c>
      <c r="AA45" s="113" t="str">
        <f t="shared" si="18"/>
        <v/>
      </c>
      <c r="AB45" s="111" t="str">
        <f t="shared" si="19"/>
        <v/>
      </c>
      <c r="AC45" s="114" t="str">
        <f t="shared" si="20"/>
        <v/>
      </c>
      <c r="AD45" s="121"/>
      <c r="AE45" s="108"/>
      <c r="AF45" s="107"/>
      <c r="AG45" s="107"/>
      <c r="AH45" s="109"/>
      <c r="AI45" s="109"/>
      <c r="AJ45" s="107"/>
      <c r="AK45" s="106"/>
    </row>
    <row r="46" spans="1:37" s="118" customFormat="1" x14ac:dyDescent="0.2">
      <c r="A46" s="110"/>
      <c r="B46" s="206" t="s">
        <v>216</v>
      </c>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row>
    <row r="47" spans="1:37" x14ac:dyDescent="0.3">
      <c r="B47" s="120" t="s">
        <v>92</v>
      </c>
      <c r="AD47" s="117"/>
    </row>
    <row r="48" spans="1:37" x14ac:dyDescent="0.3">
      <c r="AD48" s="117"/>
    </row>
  </sheetData>
  <sheetProtection algorithmName="SHA-512" hashValue="MJRnfmb/iEo5Vm36kQGX4mvnn/sm+PUdMubom25awPv/uaeFRIh/e+DZ9pZdLlE6rIk9FHEthKvKQbpat+tXmA==" saltValue="FNqcJvtdn8zvMhAKBC2LDA==" spinCount="100000" sheet="1" formatCells="0" formatColumns="0" formatRows="0" insertRows="0" insertHyperlinks="0" deleteRows="0" selectLockedCells="1" sort="0" autoFilter="0"/>
  <mergeCells count="155">
    <mergeCell ref="AD10:AD12"/>
    <mergeCell ref="AD21:AD23"/>
    <mergeCell ref="AD16:AD18"/>
    <mergeCell ref="AD14:AD15"/>
    <mergeCell ref="AD31:AD33"/>
    <mergeCell ref="AD36:AD38"/>
    <mergeCell ref="AD41:AD43"/>
    <mergeCell ref="AD26:AD28"/>
    <mergeCell ref="B46:AK46"/>
    <mergeCell ref="L41:L43"/>
    <mergeCell ref="M41:M43"/>
    <mergeCell ref="N41:N43"/>
    <mergeCell ref="J41:J43"/>
    <mergeCell ref="K41:K43"/>
    <mergeCell ref="L36:L38"/>
    <mergeCell ref="M36:M38"/>
    <mergeCell ref="N36:N38"/>
    <mergeCell ref="B14:B15"/>
    <mergeCell ref="C14:C15"/>
    <mergeCell ref="J14:J15"/>
    <mergeCell ref="K14:K15"/>
    <mergeCell ref="L14:L15"/>
    <mergeCell ref="AC14:AC15"/>
    <mergeCell ref="AE14:AE15"/>
    <mergeCell ref="D36:D38"/>
    <mergeCell ref="E36:E38"/>
    <mergeCell ref="F36:F38"/>
    <mergeCell ref="G36:G38"/>
    <mergeCell ref="J36:J38"/>
    <mergeCell ref="K36:K38"/>
    <mergeCell ref="A41:A43"/>
    <mergeCell ref="B41:B43"/>
    <mergeCell ref="C41:C43"/>
    <mergeCell ref="D41:D43"/>
    <mergeCell ref="E41:E43"/>
    <mergeCell ref="F41:F43"/>
    <mergeCell ref="G41:G43"/>
    <mergeCell ref="H41:H43"/>
    <mergeCell ref="I41:I43"/>
    <mergeCell ref="A16:A18"/>
    <mergeCell ref="B16:B18"/>
    <mergeCell ref="C16:C18"/>
    <mergeCell ref="D16:D18"/>
    <mergeCell ref="E16:E18"/>
    <mergeCell ref="H36:H38"/>
    <mergeCell ref="I36:I38"/>
    <mergeCell ref="D14:D15"/>
    <mergeCell ref="E14:E15"/>
    <mergeCell ref="F14:F15"/>
    <mergeCell ref="G14:G15"/>
    <mergeCell ref="H14:H15"/>
    <mergeCell ref="I14:I15"/>
    <mergeCell ref="H26:H28"/>
    <mergeCell ref="I26:I28"/>
    <mergeCell ref="H21:H23"/>
    <mergeCell ref="I21:I23"/>
    <mergeCell ref="F16:F18"/>
    <mergeCell ref="G16:G18"/>
    <mergeCell ref="H16:H18"/>
    <mergeCell ref="I16:I18"/>
    <mergeCell ref="A36:A38"/>
    <mergeCell ref="B36:B38"/>
    <mergeCell ref="C36:C38"/>
    <mergeCell ref="AF14:AF15"/>
    <mergeCell ref="AG14:AG15"/>
    <mergeCell ref="AH14:AH15"/>
    <mergeCell ref="AI14:AI15"/>
    <mergeCell ref="M14:M15"/>
    <mergeCell ref="N14:N15"/>
    <mergeCell ref="O14:O15"/>
    <mergeCell ref="M16:M18"/>
    <mergeCell ref="N16:N18"/>
    <mergeCell ref="Z14:Z15"/>
    <mergeCell ref="AA14:AA15"/>
    <mergeCell ref="AB14:AB15"/>
    <mergeCell ref="AE16:AE18"/>
    <mergeCell ref="J16:J18"/>
    <mergeCell ref="K16:K18"/>
    <mergeCell ref="L16:L18"/>
    <mergeCell ref="A7:AK8"/>
    <mergeCell ref="A10:B10"/>
    <mergeCell ref="C10:N10"/>
    <mergeCell ref="O10:Q10"/>
    <mergeCell ref="A11:B11"/>
    <mergeCell ref="C11:N11"/>
    <mergeCell ref="C12:N12"/>
    <mergeCell ref="AJ14:AJ15"/>
    <mergeCell ref="AK14:AK15"/>
    <mergeCell ref="A12:B12"/>
    <mergeCell ref="A13:G13"/>
    <mergeCell ref="H13:N13"/>
    <mergeCell ref="O13:W13"/>
    <mergeCell ref="X13:AE13"/>
    <mergeCell ref="AF13:AK13"/>
    <mergeCell ref="A14:A15"/>
    <mergeCell ref="P14:P15"/>
    <mergeCell ref="Q14:Q15"/>
    <mergeCell ref="R14:W14"/>
    <mergeCell ref="X14:X15"/>
    <mergeCell ref="Y14:Y15"/>
    <mergeCell ref="N26:N28"/>
    <mergeCell ref="A26:A28"/>
    <mergeCell ref="B26:B28"/>
    <mergeCell ref="C26:C28"/>
    <mergeCell ref="D26:D28"/>
    <mergeCell ref="E26:E28"/>
    <mergeCell ref="F26:F28"/>
    <mergeCell ref="G26:G28"/>
    <mergeCell ref="N31:N33"/>
    <mergeCell ref="A31:A33"/>
    <mergeCell ref="B31:B33"/>
    <mergeCell ref="C31:C33"/>
    <mergeCell ref="D31:D33"/>
    <mergeCell ref="E31:E33"/>
    <mergeCell ref="F31:F33"/>
    <mergeCell ref="G31:G33"/>
    <mergeCell ref="H31:H33"/>
    <mergeCell ref="I31:I33"/>
    <mergeCell ref="J31:J33"/>
    <mergeCell ref="K31:K33"/>
    <mergeCell ref="L31:L33"/>
    <mergeCell ref="M31:M33"/>
    <mergeCell ref="C21:C23"/>
    <mergeCell ref="D21:D23"/>
    <mergeCell ref="E21:E23"/>
    <mergeCell ref="F21:F23"/>
    <mergeCell ref="G21:G23"/>
    <mergeCell ref="J26:J28"/>
    <mergeCell ref="K26:K28"/>
    <mergeCell ref="L26:L28"/>
    <mergeCell ref="M26:M28"/>
    <mergeCell ref="AE21:AE23"/>
    <mergeCell ref="AE26:AE28"/>
    <mergeCell ref="AE31:AE33"/>
    <mergeCell ref="AE36:AE38"/>
    <mergeCell ref="AE41:AE43"/>
    <mergeCell ref="A1:D5"/>
    <mergeCell ref="E1:AK1"/>
    <mergeCell ref="E2:AK2"/>
    <mergeCell ref="E3:AK3"/>
    <mergeCell ref="E4:M4"/>
    <mergeCell ref="E5:M5"/>
    <mergeCell ref="N4:X4"/>
    <mergeCell ref="N5:X5"/>
    <mergeCell ref="Y4:AG4"/>
    <mergeCell ref="Y5:AG5"/>
    <mergeCell ref="AH4:AK4"/>
    <mergeCell ref="AH5:AK5"/>
    <mergeCell ref="J21:J23"/>
    <mergeCell ref="K21:K23"/>
    <mergeCell ref="L21:L23"/>
    <mergeCell ref="M21:M23"/>
    <mergeCell ref="N21:N23"/>
    <mergeCell ref="A21:A23"/>
    <mergeCell ref="B21:B23"/>
  </mergeCells>
  <conditionalFormatting sqref="H16">
    <cfRule type="cellIs" dxfId="132" priority="181" operator="equal">
      <formula>"Baja"</formula>
    </cfRule>
    <cfRule type="cellIs" dxfId="131" priority="180" operator="equal">
      <formula>"Media"</formula>
    </cfRule>
    <cfRule type="cellIs" dxfId="130" priority="179" operator="equal">
      <formula>"Alta"</formula>
    </cfRule>
    <cfRule type="cellIs" dxfId="129" priority="178" operator="equal">
      <formula>"Muy Alta"</formula>
    </cfRule>
    <cfRule type="cellIs" dxfId="128" priority="182" operator="equal">
      <formula>"Muy Baja"</formula>
    </cfRule>
  </conditionalFormatting>
  <conditionalFormatting sqref="H19:H21">
    <cfRule type="cellIs" dxfId="127" priority="68" operator="equal">
      <formula>"Media"</formula>
    </cfRule>
    <cfRule type="cellIs" dxfId="126" priority="67" operator="equal">
      <formula>"Alta"</formula>
    </cfRule>
    <cfRule type="cellIs" dxfId="125" priority="66" operator="equal">
      <formula>"Muy Alta"</formula>
    </cfRule>
    <cfRule type="cellIs" dxfId="124" priority="70" operator="equal">
      <formula>"Muy Baja"</formula>
    </cfRule>
    <cfRule type="cellIs" dxfId="123" priority="69" operator="equal">
      <formula>"Baja"</formula>
    </cfRule>
  </conditionalFormatting>
  <conditionalFormatting sqref="H24:H26">
    <cfRule type="cellIs" dxfId="122" priority="65" operator="equal">
      <formula>"Muy Baja"</formula>
    </cfRule>
    <cfRule type="cellIs" dxfId="121" priority="61" operator="equal">
      <formula>"Muy Alta"</formula>
    </cfRule>
    <cfRule type="cellIs" dxfId="120" priority="63" operator="equal">
      <formula>"Media"</formula>
    </cfRule>
    <cfRule type="cellIs" dxfId="119" priority="64" operator="equal">
      <formula>"Baja"</formula>
    </cfRule>
    <cfRule type="cellIs" dxfId="118" priority="62" operator="equal">
      <formula>"Alta"</formula>
    </cfRule>
  </conditionalFormatting>
  <conditionalFormatting sqref="H29:H31">
    <cfRule type="cellIs" dxfId="117" priority="60" operator="equal">
      <formula>"Muy Baja"</formula>
    </cfRule>
    <cfRule type="cellIs" dxfId="116" priority="59" operator="equal">
      <formula>"Baja"</formula>
    </cfRule>
    <cfRule type="cellIs" dxfId="115" priority="58" operator="equal">
      <formula>"Media"</formula>
    </cfRule>
    <cfRule type="cellIs" dxfId="114" priority="57" operator="equal">
      <formula>"Alta"</formula>
    </cfRule>
    <cfRule type="cellIs" dxfId="113" priority="56" operator="equal">
      <formula>"Muy Alta"</formula>
    </cfRule>
  </conditionalFormatting>
  <conditionalFormatting sqref="H34:H36">
    <cfRule type="cellIs" dxfId="112" priority="51" operator="equal">
      <formula>"Muy Alta"</formula>
    </cfRule>
    <cfRule type="cellIs" dxfId="111" priority="55" operator="equal">
      <formula>"Muy Baja"</formula>
    </cfRule>
    <cfRule type="cellIs" dxfId="110" priority="54" operator="equal">
      <formula>"Baja"</formula>
    </cfRule>
    <cfRule type="cellIs" dxfId="109" priority="53" operator="equal">
      <formula>"Media"</formula>
    </cfRule>
    <cfRule type="cellIs" dxfId="108" priority="52" operator="equal">
      <formula>"Alta"</formula>
    </cfRule>
  </conditionalFormatting>
  <conditionalFormatting sqref="H39:H41">
    <cfRule type="cellIs" dxfId="107" priority="50" operator="equal">
      <formula>"Muy Baja"</formula>
    </cfRule>
    <cfRule type="cellIs" dxfId="106" priority="49" operator="equal">
      <formula>"Baja"</formula>
    </cfRule>
    <cfRule type="cellIs" dxfId="105" priority="48" operator="equal">
      <formula>"Media"</formula>
    </cfRule>
    <cfRule type="cellIs" dxfId="104" priority="46" operator="equal">
      <formula>"Muy Alta"</formula>
    </cfRule>
    <cfRule type="cellIs" dxfId="103" priority="47" operator="equal">
      <formula>"Alta"</formula>
    </cfRule>
  </conditionalFormatting>
  <conditionalFormatting sqref="H44:H45">
    <cfRule type="cellIs" dxfId="102" priority="189" operator="equal">
      <formula>"Muy Alta"</formula>
    </cfRule>
    <cfRule type="cellIs" dxfId="101" priority="190" operator="equal">
      <formula>"Alta"</formula>
    </cfRule>
    <cfRule type="cellIs" dxfId="100" priority="191" operator="equal">
      <formula>"Media"</formula>
    </cfRule>
    <cfRule type="cellIs" dxfId="99" priority="192" operator="equal">
      <formula>"Baja"</formula>
    </cfRule>
    <cfRule type="cellIs" dxfId="98" priority="193" operator="equal">
      <formula>"Muy Baja"</formula>
    </cfRule>
  </conditionalFormatting>
  <conditionalFormatting sqref="K16:K45">
    <cfRule type="containsText" dxfId="97" priority="183" operator="containsText" text="❌">
      <formula>NOT(ISERROR(SEARCH(("❌"),(K16))))</formula>
    </cfRule>
  </conditionalFormatting>
  <conditionalFormatting sqref="L16">
    <cfRule type="cellIs" dxfId="96" priority="149" operator="equal">
      <formula>"Mayor"</formula>
    </cfRule>
    <cfRule type="cellIs" dxfId="95" priority="148" operator="equal">
      <formula>"Catastrófico"</formula>
    </cfRule>
    <cfRule type="cellIs" dxfId="94" priority="152" operator="equal">
      <formula>"Leve"</formula>
    </cfRule>
    <cfRule type="cellIs" dxfId="93" priority="151" operator="equal">
      <formula>"Menor"</formula>
    </cfRule>
    <cfRule type="cellIs" dxfId="92" priority="150" operator="equal">
      <formula>"Moderado"</formula>
    </cfRule>
  </conditionalFormatting>
  <conditionalFormatting sqref="L19:L21">
    <cfRule type="cellIs" dxfId="91" priority="42" operator="equal">
      <formula>"Mayor"</formula>
    </cfRule>
    <cfRule type="cellIs" dxfId="90" priority="43" operator="equal">
      <formula>"Moderado"</formula>
    </cfRule>
    <cfRule type="cellIs" dxfId="89" priority="44" operator="equal">
      <formula>"Menor"</formula>
    </cfRule>
    <cfRule type="cellIs" dxfId="88" priority="45" operator="equal">
      <formula>"Leve"</formula>
    </cfRule>
    <cfRule type="cellIs" dxfId="87" priority="41" operator="equal">
      <formula>"Catastrófico"</formula>
    </cfRule>
  </conditionalFormatting>
  <conditionalFormatting sqref="L24:L26">
    <cfRule type="cellIs" dxfId="86" priority="37" operator="equal">
      <formula>"Mayor"</formula>
    </cfRule>
    <cfRule type="cellIs" dxfId="85" priority="36" operator="equal">
      <formula>"Catastrófico"</formula>
    </cfRule>
    <cfRule type="cellIs" dxfId="84" priority="38" operator="equal">
      <formula>"Moderado"</formula>
    </cfRule>
    <cfRule type="cellIs" dxfId="83" priority="39" operator="equal">
      <formula>"Menor"</formula>
    </cfRule>
    <cfRule type="cellIs" dxfId="82" priority="40" operator="equal">
      <formula>"Leve"</formula>
    </cfRule>
  </conditionalFormatting>
  <conditionalFormatting sqref="L29:L31">
    <cfRule type="cellIs" dxfId="81" priority="35" operator="equal">
      <formula>"Leve"</formula>
    </cfRule>
    <cfRule type="cellIs" dxfId="80" priority="34" operator="equal">
      <formula>"Menor"</formula>
    </cfRule>
    <cfRule type="cellIs" dxfId="79" priority="32" operator="equal">
      <formula>"Mayor"</formula>
    </cfRule>
    <cfRule type="cellIs" dxfId="78" priority="31" operator="equal">
      <formula>"Catastrófico"</formula>
    </cfRule>
    <cfRule type="cellIs" dxfId="77" priority="33" operator="equal">
      <formula>"Moderado"</formula>
    </cfRule>
  </conditionalFormatting>
  <conditionalFormatting sqref="L34:L36">
    <cfRule type="cellIs" dxfId="76" priority="29" operator="equal">
      <formula>"Menor"</formula>
    </cfRule>
    <cfRule type="cellIs" dxfId="75" priority="30" operator="equal">
      <formula>"Leve"</formula>
    </cfRule>
    <cfRule type="cellIs" dxfId="74" priority="28" operator="equal">
      <formula>"Moderado"</formula>
    </cfRule>
    <cfRule type="cellIs" dxfId="73" priority="27" operator="equal">
      <formula>"Mayor"</formula>
    </cfRule>
    <cfRule type="cellIs" dxfId="72" priority="26" operator="equal">
      <formula>"Catastrófico"</formula>
    </cfRule>
  </conditionalFormatting>
  <conditionalFormatting sqref="L39:L41">
    <cfRule type="cellIs" dxfId="71" priority="25" operator="equal">
      <formula>"Leve"</formula>
    </cfRule>
    <cfRule type="cellIs" dxfId="70" priority="24" operator="equal">
      <formula>"Menor"</formula>
    </cfRule>
    <cfRule type="cellIs" dxfId="69" priority="23" operator="equal">
      <formula>"Moderado"</formula>
    </cfRule>
    <cfRule type="cellIs" dxfId="68" priority="22" operator="equal">
      <formula>"Mayor"</formula>
    </cfRule>
    <cfRule type="cellIs" dxfId="67" priority="21" operator="equal">
      <formula>"Catastrófico"</formula>
    </cfRule>
  </conditionalFormatting>
  <conditionalFormatting sqref="L44:L45">
    <cfRule type="cellIs" dxfId="66" priority="194" operator="equal">
      <formula>"Catastrófico"</formula>
    </cfRule>
    <cfRule type="cellIs" dxfId="65" priority="195" operator="equal">
      <formula>"Mayor"</formula>
    </cfRule>
    <cfRule type="cellIs" dxfId="64" priority="196" operator="equal">
      <formula>"Moderado"</formula>
    </cfRule>
    <cfRule type="cellIs" dxfId="63" priority="197" operator="equal">
      <formula>"Menor"</formula>
    </cfRule>
    <cfRule type="cellIs" dxfId="62" priority="198" operator="equal">
      <formula>"Leve"</formula>
    </cfRule>
  </conditionalFormatting>
  <conditionalFormatting sqref="N16">
    <cfRule type="cellIs" dxfId="61" priority="122" operator="equal">
      <formula>"Bajo"</formula>
    </cfRule>
    <cfRule type="cellIs" dxfId="60" priority="120" operator="equal">
      <formula>"Alto"</formula>
    </cfRule>
    <cfRule type="cellIs" dxfId="59" priority="121" operator="equal">
      <formula>"Moderado"</formula>
    </cfRule>
    <cfRule type="cellIs" dxfId="58" priority="119" operator="equal">
      <formula>"Extremo"</formula>
    </cfRule>
  </conditionalFormatting>
  <conditionalFormatting sqref="N19:N21">
    <cfRule type="cellIs" dxfId="57" priority="18" operator="equal">
      <formula>"Alto"</formula>
    </cfRule>
    <cfRule type="cellIs" dxfId="56" priority="19" operator="equal">
      <formula>"Moderado"</formula>
    </cfRule>
    <cfRule type="cellIs" dxfId="55" priority="20" operator="equal">
      <formula>"Bajo"</formula>
    </cfRule>
    <cfRule type="cellIs" dxfId="54" priority="17" operator="equal">
      <formula>"Extremo"</formula>
    </cfRule>
  </conditionalFormatting>
  <conditionalFormatting sqref="N24:N26">
    <cfRule type="cellIs" dxfId="53" priority="13" operator="equal">
      <formula>"Extremo"</formula>
    </cfRule>
    <cfRule type="cellIs" dxfId="52" priority="14" operator="equal">
      <formula>"Alto"</formula>
    </cfRule>
    <cfRule type="cellIs" dxfId="51" priority="16" operator="equal">
      <formula>"Bajo"</formula>
    </cfRule>
    <cfRule type="cellIs" dxfId="50" priority="15" operator="equal">
      <formula>"Moderado"</formula>
    </cfRule>
  </conditionalFormatting>
  <conditionalFormatting sqref="N29:N31">
    <cfRule type="cellIs" dxfId="49" priority="12" operator="equal">
      <formula>"Bajo"</formula>
    </cfRule>
    <cfRule type="cellIs" dxfId="48" priority="11" operator="equal">
      <formula>"Moderado"</formula>
    </cfRule>
    <cfRule type="cellIs" dxfId="47" priority="10" operator="equal">
      <formula>"Alto"</formula>
    </cfRule>
    <cfRule type="cellIs" dxfId="46" priority="9" operator="equal">
      <formula>"Extremo"</formula>
    </cfRule>
  </conditionalFormatting>
  <conditionalFormatting sqref="N34:N36">
    <cfRule type="cellIs" dxfId="45" priority="7" operator="equal">
      <formula>"Moderado"</formula>
    </cfRule>
    <cfRule type="cellIs" dxfId="44" priority="8" operator="equal">
      <formula>"Bajo"</formula>
    </cfRule>
    <cfRule type="cellIs" dxfId="43" priority="6" operator="equal">
      <formula>"Alto"</formula>
    </cfRule>
    <cfRule type="cellIs" dxfId="42" priority="5" operator="equal">
      <formula>"Extremo"</formula>
    </cfRule>
  </conditionalFormatting>
  <conditionalFormatting sqref="N39:N41">
    <cfRule type="cellIs" dxfId="41" priority="4" operator="equal">
      <formula>"Bajo"</formula>
    </cfRule>
    <cfRule type="cellIs" dxfId="40" priority="3" operator="equal">
      <formula>"Moderado"</formula>
    </cfRule>
    <cfRule type="cellIs" dxfId="39" priority="2" operator="equal">
      <formula>"Alto"</formula>
    </cfRule>
    <cfRule type="cellIs" dxfId="38" priority="1" operator="equal">
      <formula>"Extremo"</formula>
    </cfRule>
  </conditionalFormatting>
  <conditionalFormatting sqref="N44:N45">
    <cfRule type="cellIs" dxfId="37" priority="202" operator="equal">
      <formula>"Bajo"</formula>
    </cfRule>
    <cfRule type="cellIs" dxfId="36" priority="201" operator="equal">
      <formula>"Moderado"</formula>
    </cfRule>
    <cfRule type="cellIs" dxfId="35" priority="200" operator="equal">
      <formula>"Alto"</formula>
    </cfRule>
    <cfRule type="cellIs" dxfId="34" priority="199" operator="equal">
      <formula>"Extremo"</formula>
    </cfRule>
  </conditionalFormatting>
  <conditionalFormatting sqref="Y16:Y45">
    <cfRule type="cellIs" dxfId="33" priority="90" operator="equal">
      <formula>"Alta"</formula>
    </cfRule>
    <cfRule type="cellIs" dxfId="32" priority="91" operator="equal">
      <formula>"Media"</formula>
    </cfRule>
    <cfRule type="cellIs" dxfId="31" priority="92" operator="equal">
      <formula>"Baja"</formula>
    </cfRule>
    <cfRule type="cellIs" dxfId="30" priority="93" operator="equal">
      <formula>"Muy Baja"</formula>
    </cfRule>
    <cfRule type="cellIs" dxfId="29" priority="89" operator="equal">
      <formula>"Muy Alta"</formula>
    </cfRule>
  </conditionalFormatting>
  <conditionalFormatting sqref="AA16:AA45">
    <cfRule type="cellIs" dxfId="28" priority="79" operator="equal">
      <formula>"Catastrófico"</formula>
    </cfRule>
    <cfRule type="cellIs" dxfId="27" priority="80" operator="equal">
      <formula>"Mayor"</formula>
    </cfRule>
    <cfRule type="cellIs" dxfId="26" priority="81" operator="equal">
      <formula>"Moderado"</formula>
    </cfRule>
    <cfRule type="cellIs" dxfId="25" priority="82" operator="equal">
      <formula>"Menor"</formula>
    </cfRule>
    <cfRule type="cellIs" dxfId="24" priority="83" operator="equal">
      <formula>"Leve"</formula>
    </cfRule>
  </conditionalFormatting>
  <conditionalFormatting sqref="AC16:AC45">
    <cfRule type="cellIs" dxfId="23" priority="74" operator="equal">
      <formula>"Bajo"</formula>
    </cfRule>
    <cfRule type="cellIs" dxfId="22" priority="73" operator="equal">
      <formula>"Moderado"</formula>
    </cfRule>
    <cfRule type="cellIs" dxfId="21" priority="72" operator="equal">
      <formula>"Alto"</formula>
    </cfRule>
    <cfRule type="cellIs" dxfId="20" priority="71" operator="equal">
      <formula>"Extremo"</formula>
    </cfRule>
  </conditionalFormatting>
  <conditionalFormatting sqref="AD10:AD11 AD13:AD14 AD16:AD17 AD21:AD22">
    <cfRule type="cellIs" dxfId="19" priority="414" operator="equal">
      <formula>"Bajo"</formula>
    </cfRule>
    <cfRule type="cellIs" dxfId="18" priority="411" operator="equal">
      <formula>"Extremo"</formula>
    </cfRule>
    <cfRule type="cellIs" dxfId="17" priority="412" operator="equal">
      <formula>"Alto"</formula>
    </cfRule>
    <cfRule type="cellIs" dxfId="16" priority="413" operator="equal">
      <formula>"Moderado"</formula>
    </cfRule>
  </conditionalFormatting>
  <conditionalFormatting sqref="AD26:AD27">
    <cfRule type="cellIs" dxfId="15" priority="360" operator="equal">
      <formula>"Alto"</formula>
    </cfRule>
    <cfRule type="cellIs" dxfId="14" priority="359" operator="equal">
      <formula>"Extremo"</formula>
    </cfRule>
    <cfRule type="cellIs" dxfId="13" priority="361" operator="equal">
      <formula>"Moderado"</formula>
    </cfRule>
    <cfRule type="cellIs" dxfId="12" priority="362" operator="equal">
      <formula>"Bajo"</formula>
    </cfRule>
  </conditionalFormatting>
  <conditionalFormatting sqref="AD31:AD32">
    <cfRule type="cellIs" dxfId="11" priority="347" operator="equal">
      <formula>"Extremo"</formula>
    </cfRule>
    <cfRule type="cellIs" dxfId="10" priority="348" operator="equal">
      <formula>"Alto"</formula>
    </cfRule>
    <cfRule type="cellIs" dxfId="9" priority="349" operator="equal">
      <formula>"Moderado"</formula>
    </cfRule>
    <cfRule type="cellIs" dxfId="8" priority="350" operator="equal">
      <formula>"Bajo"</formula>
    </cfRule>
  </conditionalFormatting>
  <conditionalFormatting sqref="AD36:AD37">
    <cfRule type="cellIs" dxfId="7" priority="355" operator="equal">
      <formula>"Extremo"</formula>
    </cfRule>
    <cfRule type="cellIs" dxfId="6" priority="356" operator="equal">
      <formula>"Alto"</formula>
    </cfRule>
    <cfRule type="cellIs" dxfId="5" priority="357" operator="equal">
      <formula>"Moderado"</formula>
    </cfRule>
    <cfRule type="cellIs" dxfId="4" priority="358" operator="equal">
      <formula>"Bajo"</formula>
    </cfRule>
  </conditionalFormatting>
  <conditionalFormatting sqref="AD41:AD42">
    <cfRule type="cellIs" dxfId="3" priority="351" operator="equal">
      <formula>"Extremo"</formula>
    </cfRule>
    <cfRule type="cellIs" dxfId="2" priority="352" operator="equal">
      <formula>"Alto"</formula>
    </cfRule>
    <cfRule type="cellIs" dxfId="1" priority="353" operator="equal">
      <formula>"Moderado"</formula>
    </cfRule>
    <cfRule type="cellIs" dxfId="0" priority="354" operator="equal">
      <formula>"Bajo"</formula>
    </cfRule>
  </conditionalFormatting>
  <dataValidations xWindow="881" yWindow="730"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xr:uid="{3A230BE5-98CD-449B-B443-66E30C3A37AB}"/>
    <dataValidation allowBlank="1" showInputMessage="1" showErrorMessage="1" promptTitle="OBJETIVO DEL PROCESO/SUBPROCESO" prompt="Debe colocar el objetivo del proceso/subproceso de acuerdo a la caracterización del proceso" sqref="C11:N11" xr:uid="{AA5EAAD1-B392-4427-A738-C1B025979AEF}"/>
    <dataValidation allowBlank="1" showInputMessage="1" showErrorMessage="1" promptTitle="ALCANCE DEL PROCESO/SUBPROCESO" prompt="Debe colocar el alcance del proceso/subproceso, de acuerdo a la caracterización del mismo Incluyendo LIMITE y APLICABILIDAD" sqref="C12:N12" xr:uid="{7F6F40CA-0BAF-47C0-A29C-A6EED92B486D}"/>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16:P20 P22:P44" xr:uid="{CA6D7211-932B-4073-8F45-FD3AFADCE769}"/>
  </dataValidations>
  <pageMargins left="0.7" right="0.7" top="0.75" bottom="0.75" header="0" footer="0"/>
  <pageSetup orientation="portrait" r:id="rId1"/>
  <ignoredErrors>
    <ignoredError sqref="N5" numberStoredAsText="1"/>
  </ignoredErrors>
  <drawing r:id="rId2"/>
  <extLst>
    <ext xmlns:x14="http://schemas.microsoft.com/office/spreadsheetml/2009/9/main" uri="{CCE6A557-97BC-4b89-ADB6-D9C93CAAB3DF}">
      <x14:dataValidations xmlns:xm="http://schemas.microsoft.com/office/excel/2006/main" xWindow="881" yWindow="730" count="10">
        <x14:dataValidation type="list" allowBlank="1" showErrorMessage="1" xr:uid="{00000000-0002-0000-0000-000004000000}">
          <x14:formula1>
            <xm:f>'Opciones Tratamiento'!$E$2:$E$4</xm:f>
          </x14:formula1>
          <xm:sqref>B19:B21 B16 B44:B45 B24:B26 B29:B31 B34:B36 B39:B41</xm:sqref>
        </x14:dataValidation>
        <x14:dataValidation type="list" allowBlank="1" showErrorMessage="1" xr:uid="{00000000-0002-0000-0000-000005000000}">
          <x14:formula1>
            <xm:f>'Tabla Impacto'!$F$210:$F$221</xm:f>
          </x14:formula1>
          <xm:sqref>J44:J45 J16 J19:J21 J24:J26 J29:J31 J34:J36 J39:J41</xm:sqref>
        </x14:dataValidation>
        <x14:dataValidation type="list" allowBlank="1" showErrorMessage="1" xr:uid="{00000000-0002-0000-0000-000009000000}">
          <x14:formula1>
            <xm:f>'Opciones Tratamiento'!$B$9:$B$10</xm:f>
          </x14:formula1>
          <xm:sqref>AK16:AK45</xm:sqref>
        </x14:dataValidation>
        <x14:dataValidation type="list" allowBlank="1" showErrorMessage="1" xr:uid="{00000000-0002-0000-0000-00000A000000}">
          <x14:formula1>
            <xm:f>'Opciones Tratamiento'!$B$13:$B$19</xm:f>
          </x14:formula1>
          <xm:sqref>F19:F21 F16 F44:F45 F24:F26 F29:F31 F34:F36 F39:F41</xm:sqref>
        </x14:dataValidation>
        <x14:dataValidation type="list" allowBlank="1" showErrorMessage="1" xr:uid="{00000000-0002-0000-0000-00000B000000}">
          <x14:formula1>
            <xm:f>'Tabla Valoración controles'!$D$9:$D$10</xm:f>
          </x14:formula1>
          <xm:sqref>U16:U45</xm:sqref>
        </x14:dataValidation>
        <x14:dataValidation type="list" allowBlank="1" showErrorMessage="1" xr:uid="{00000000-0002-0000-0000-00000C000000}">
          <x14:formula1>
            <xm:f>'Tabla Valoración controles'!$D$11:$D$12</xm:f>
          </x14:formula1>
          <xm:sqref>V16:V45</xm:sqref>
        </x14:dataValidation>
        <x14:dataValidation type="list" allowBlank="1" showErrorMessage="1" xr:uid="{00000000-0002-0000-0000-00000D000000}">
          <x14:formula1>
            <xm:f>'Tabla Valoración controles'!$D$13:$D$14</xm:f>
          </x14:formula1>
          <xm:sqref>W16:W45</xm:sqref>
        </x14:dataValidation>
        <x14:dataValidation type="list" allowBlank="1" showErrorMessage="1" xr:uid="{00000000-0002-0000-0000-00000E000000}">
          <x14:formula1>
            <xm:f>'Tabla Valoración controles'!$D$7:$D$8</xm:f>
          </x14:formula1>
          <xm:sqref>S16:S45</xm:sqref>
        </x14:dataValidation>
        <x14:dataValidation type="list" allowBlank="1" showErrorMessage="1" xr:uid="{00000000-0002-0000-0000-00000F000000}">
          <x14:formula1>
            <xm:f>'Tabla Valoración controles'!$D$4:$D$6</xm:f>
          </x14:formula1>
          <xm:sqref>R16:R45</xm:sqref>
        </x14:dataValidation>
        <x14:dataValidation type="list" allowBlank="1" showErrorMessage="1" xr:uid="{00000000-0002-0000-0000-000010000000}">
          <x14:formula1>
            <xm:f>'Opciones Tratamiento'!$B$2:$B$5</xm:f>
          </x14:formula1>
          <xm:sqref>AE16 AE19:AE21 AE24:AE26 AE29:AE31 AE34:AE36 AE39:AE41 AE44:AE45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167</v>
      </c>
    </row>
    <row r="4" spans="1:1" ht="12.75" customHeight="1" x14ac:dyDescent="0.2">
      <c r="A4" s="97" t="s">
        <v>169</v>
      </c>
    </row>
    <row r="5" spans="1:1" ht="12.75" customHeight="1" x14ac:dyDescent="0.2">
      <c r="A5" s="97" t="s">
        <v>171</v>
      </c>
    </row>
    <row r="6" spans="1:1" ht="12.75" customHeight="1" x14ac:dyDescent="0.2">
      <c r="A6" s="97" t="s">
        <v>173</v>
      </c>
    </row>
    <row r="7" spans="1:1" ht="12.75" customHeight="1" x14ac:dyDescent="0.2">
      <c r="A7" s="97" t="s">
        <v>175</v>
      </c>
    </row>
    <row r="8" spans="1:1" ht="12.75" customHeight="1" x14ac:dyDescent="0.2">
      <c r="A8" s="97" t="s">
        <v>178</v>
      </c>
    </row>
    <row r="9" spans="1:1" ht="12.75" customHeight="1" x14ac:dyDescent="0.2">
      <c r="A9" s="97" t="s">
        <v>181</v>
      </c>
    </row>
    <row r="10" spans="1:1" ht="12.75" customHeight="1" x14ac:dyDescent="0.2">
      <c r="A10" s="97" t="s">
        <v>183</v>
      </c>
    </row>
    <row r="11" spans="1:1" ht="12.75" customHeight="1" x14ac:dyDescent="0.2">
      <c r="A11" s="97" t="s">
        <v>185</v>
      </c>
    </row>
    <row r="12" spans="1:1" ht="12.75" customHeight="1" x14ac:dyDescent="0.2">
      <c r="A12" s="97" t="s">
        <v>209</v>
      </c>
    </row>
    <row r="13" spans="1:1" ht="12.75" customHeight="1" x14ac:dyDescent="0.2">
      <c r="A13" s="97" t="s">
        <v>210</v>
      </c>
    </row>
    <row r="14" spans="1:1" ht="12.75" customHeight="1" x14ac:dyDescent="0.2">
      <c r="A14" s="97" t="s">
        <v>211</v>
      </c>
    </row>
    <row r="15" spans="1:1" ht="12.75" customHeight="1" x14ac:dyDescent="0.2">
      <c r="A15" s="96"/>
    </row>
    <row r="16" spans="1:1" ht="12.75" customHeight="1" x14ac:dyDescent="0.2">
      <c r="A16" s="97" t="s">
        <v>212</v>
      </c>
    </row>
    <row r="17" spans="1:1" ht="12.75" customHeight="1" x14ac:dyDescent="0.2">
      <c r="A17" s="97" t="s">
        <v>192</v>
      </c>
    </row>
    <row r="18" spans="1:1" ht="12.75" customHeight="1" x14ac:dyDescent="0.2">
      <c r="A18" s="97" t="s">
        <v>194</v>
      </c>
    </row>
    <row r="19" spans="1:1" ht="12.75" customHeight="1" x14ac:dyDescent="0.2">
      <c r="A19" s="96"/>
    </row>
    <row r="20" spans="1:1" ht="12.75" customHeight="1" x14ac:dyDescent="0.2">
      <c r="A20" s="97" t="s">
        <v>200</v>
      </c>
    </row>
    <row r="21" spans="1:1" ht="12.75" customHeight="1" x14ac:dyDescent="0.2">
      <c r="A21" s="97"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4"/>
  <sheetViews>
    <sheetView topLeftCell="A28" workbookViewId="0">
      <selection activeCell="E36" sqref="E36:F36"/>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207" t="s">
        <v>0</v>
      </c>
      <c r="C2" s="208"/>
      <c r="D2" s="208"/>
      <c r="E2" s="208"/>
      <c r="F2" s="208"/>
      <c r="G2" s="208"/>
      <c r="H2" s="209"/>
    </row>
    <row r="3" spans="2:8" ht="14.25" x14ac:dyDescent="0.2">
      <c r="B3" s="2"/>
      <c r="C3" s="3"/>
      <c r="D3" s="3"/>
      <c r="E3" s="3"/>
      <c r="F3" s="3"/>
      <c r="G3" s="3"/>
      <c r="H3" s="4"/>
    </row>
    <row r="4" spans="2:8" ht="63" customHeight="1" x14ac:dyDescent="0.2">
      <c r="B4" s="210" t="s">
        <v>1</v>
      </c>
      <c r="C4" s="211"/>
      <c r="D4" s="211"/>
      <c r="E4" s="211"/>
      <c r="F4" s="211"/>
      <c r="G4" s="211"/>
      <c r="H4" s="212"/>
    </row>
    <row r="5" spans="2:8" ht="63" customHeight="1" x14ac:dyDescent="0.2">
      <c r="B5" s="213"/>
      <c r="C5" s="214"/>
      <c r="D5" s="214"/>
      <c r="E5" s="214"/>
      <c r="F5" s="214"/>
      <c r="G5" s="214"/>
      <c r="H5" s="215"/>
    </row>
    <row r="6" spans="2:8" ht="14.25" x14ac:dyDescent="0.2">
      <c r="B6" s="216" t="s">
        <v>2</v>
      </c>
      <c r="C6" s="217"/>
      <c r="D6" s="217"/>
      <c r="E6" s="217"/>
      <c r="F6" s="217"/>
      <c r="G6" s="217"/>
      <c r="H6" s="218"/>
    </row>
    <row r="7" spans="2:8" ht="95.25" customHeight="1" x14ac:dyDescent="0.2">
      <c r="B7" s="219" t="s">
        <v>3</v>
      </c>
      <c r="C7" s="220"/>
      <c r="D7" s="220"/>
      <c r="E7" s="220"/>
      <c r="F7" s="220"/>
      <c r="G7" s="220"/>
      <c r="H7" s="221"/>
    </row>
    <row r="8" spans="2:8" ht="16.5" x14ac:dyDescent="0.2">
      <c r="B8" s="5"/>
      <c r="C8" s="6"/>
      <c r="D8" s="6"/>
      <c r="E8" s="6"/>
      <c r="F8" s="6"/>
      <c r="G8" s="6"/>
      <c r="H8" s="7"/>
    </row>
    <row r="9" spans="2:8" ht="16.5" customHeight="1" x14ac:dyDescent="0.2">
      <c r="B9" s="222" t="s">
        <v>4</v>
      </c>
      <c r="C9" s="211"/>
      <c r="D9" s="211"/>
      <c r="E9" s="211"/>
      <c r="F9" s="211"/>
      <c r="G9" s="211"/>
      <c r="H9" s="212"/>
    </row>
    <row r="10" spans="2:8" ht="44.25" customHeight="1" x14ac:dyDescent="0.2">
      <c r="B10" s="223"/>
      <c r="C10" s="211"/>
      <c r="D10" s="211"/>
      <c r="E10" s="211"/>
      <c r="F10" s="211"/>
      <c r="G10" s="211"/>
      <c r="H10" s="212"/>
    </row>
    <row r="11" spans="2:8" ht="14.25" x14ac:dyDescent="0.2">
      <c r="B11" s="8"/>
      <c r="C11" s="9"/>
      <c r="D11" s="10"/>
      <c r="E11" s="11"/>
      <c r="F11" s="11"/>
      <c r="G11" s="11"/>
      <c r="H11" s="12"/>
    </row>
    <row r="12" spans="2:8" ht="14.25" x14ac:dyDescent="0.2">
      <c r="B12" s="8"/>
      <c r="C12" s="224" t="s">
        <v>5</v>
      </c>
      <c r="D12" s="225"/>
      <c r="E12" s="226" t="s">
        <v>6</v>
      </c>
      <c r="F12" s="227"/>
      <c r="G12" s="9"/>
      <c r="H12" s="12"/>
    </row>
    <row r="13" spans="2:8" ht="35.25" customHeight="1" x14ac:dyDescent="0.2">
      <c r="B13" s="8"/>
      <c r="C13" s="228" t="s">
        <v>7</v>
      </c>
      <c r="D13" s="229"/>
      <c r="E13" s="230" t="s">
        <v>8</v>
      </c>
      <c r="F13" s="231"/>
      <c r="G13" s="9"/>
      <c r="H13" s="12"/>
    </row>
    <row r="14" spans="2:8" ht="17.25" customHeight="1" x14ac:dyDescent="0.2">
      <c r="B14" s="8"/>
      <c r="C14" s="228" t="s">
        <v>9</v>
      </c>
      <c r="D14" s="229"/>
      <c r="E14" s="230" t="s">
        <v>10</v>
      </c>
      <c r="F14" s="231"/>
      <c r="G14" s="9"/>
      <c r="H14" s="12"/>
    </row>
    <row r="15" spans="2:8" ht="19.5" customHeight="1" x14ac:dyDescent="0.2">
      <c r="B15" s="8"/>
      <c r="C15" s="228" t="s">
        <v>11</v>
      </c>
      <c r="D15" s="229"/>
      <c r="E15" s="230" t="s">
        <v>12</v>
      </c>
      <c r="F15" s="231"/>
      <c r="G15" s="9"/>
      <c r="H15" s="12"/>
    </row>
    <row r="16" spans="2:8" ht="69.75" customHeight="1" x14ac:dyDescent="0.2">
      <c r="B16" s="8"/>
      <c r="C16" s="228" t="s">
        <v>13</v>
      </c>
      <c r="D16" s="229"/>
      <c r="E16" s="230" t="s">
        <v>14</v>
      </c>
      <c r="F16" s="231"/>
      <c r="G16" s="9"/>
      <c r="H16" s="12"/>
    </row>
    <row r="17" spans="3:6" ht="34.5" customHeight="1" x14ac:dyDescent="0.2">
      <c r="C17" s="232" t="s">
        <v>15</v>
      </c>
      <c r="D17" s="233"/>
      <c r="E17" s="234" t="s">
        <v>16</v>
      </c>
      <c r="F17" s="235"/>
    </row>
    <row r="18" spans="3:6" ht="27.75" customHeight="1" x14ac:dyDescent="0.2">
      <c r="C18" s="232" t="s">
        <v>17</v>
      </c>
      <c r="D18" s="233"/>
      <c r="E18" s="234" t="s">
        <v>18</v>
      </c>
      <c r="F18" s="235"/>
    </row>
    <row r="19" spans="3:6" ht="28.5" customHeight="1" x14ac:dyDescent="0.2">
      <c r="C19" s="232" t="s">
        <v>19</v>
      </c>
      <c r="D19" s="233"/>
      <c r="E19" s="234" t="s">
        <v>20</v>
      </c>
      <c r="F19" s="235"/>
    </row>
    <row r="20" spans="3:6" ht="72.75" customHeight="1" x14ac:dyDescent="0.2">
      <c r="C20" s="232" t="s">
        <v>21</v>
      </c>
      <c r="D20" s="233"/>
      <c r="E20" s="234" t="s">
        <v>22</v>
      </c>
      <c r="F20" s="235"/>
    </row>
    <row r="21" spans="3:6" ht="64.5" customHeight="1" x14ac:dyDescent="0.2">
      <c r="C21" s="232" t="s">
        <v>23</v>
      </c>
      <c r="D21" s="233"/>
      <c r="E21" s="234" t="s">
        <v>24</v>
      </c>
      <c r="F21" s="235"/>
    </row>
    <row r="22" spans="3:6" ht="71.25" customHeight="1" x14ac:dyDescent="0.2">
      <c r="C22" s="232" t="s">
        <v>25</v>
      </c>
      <c r="D22" s="233"/>
      <c r="E22" s="234" t="s">
        <v>26</v>
      </c>
      <c r="F22" s="235"/>
    </row>
    <row r="23" spans="3:6" ht="55.5" customHeight="1" x14ac:dyDescent="0.2">
      <c r="C23" s="232" t="s">
        <v>27</v>
      </c>
      <c r="D23" s="233"/>
      <c r="E23" s="234" t="s">
        <v>28</v>
      </c>
      <c r="F23" s="235"/>
    </row>
    <row r="24" spans="3:6" ht="42" customHeight="1" x14ac:dyDescent="0.2">
      <c r="C24" s="232" t="s">
        <v>29</v>
      </c>
      <c r="D24" s="233"/>
      <c r="E24" s="234" t="s">
        <v>30</v>
      </c>
      <c r="F24" s="235"/>
    </row>
    <row r="25" spans="3:6" ht="59.25" customHeight="1" x14ac:dyDescent="0.2">
      <c r="C25" s="232" t="s">
        <v>31</v>
      </c>
      <c r="D25" s="233"/>
      <c r="E25" s="234" t="s">
        <v>32</v>
      </c>
      <c r="F25" s="235"/>
    </row>
    <row r="26" spans="3:6" ht="23.25" customHeight="1" x14ac:dyDescent="0.2">
      <c r="C26" s="232" t="s">
        <v>33</v>
      </c>
      <c r="D26" s="233"/>
      <c r="E26" s="234" t="s">
        <v>34</v>
      </c>
      <c r="F26" s="235"/>
    </row>
    <row r="27" spans="3:6" ht="30.75" customHeight="1" x14ac:dyDescent="0.2">
      <c r="C27" s="232" t="s">
        <v>35</v>
      </c>
      <c r="D27" s="233"/>
      <c r="E27" s="234" t="s">
        <v>36</v>
      </c>
      <c r="F27" s="235"/>
    </row>
    <row r="28" spans="3:6" ht="35.25" customHeight="1" x14ac:dyDescent="0.2">
      <c r="C28" s="232" t="s">
        <v>37</v>
      </c>
      <c r="D28" s="233"/>
      <c r="E28" s="234" t="s">
        <v>38</v>
      </c>
      <c r="F28" s="235"/>
    </row>
    <row r="29" spans="3:6" ht="33" customHeight="1" x14ac:dyDescent="0.2">
      <c r="C29" s="232" t="s">
        <v>39</v>
      </c>
      <c r="D29" s="233"/>
      <c r="E29" s="234" t="s">
        <v>38</v>
      </c>
      <c r="F29" s="235"/>
    </row>
    <row r="30" spans="3:6" ht="30" customHeight="1" x14ac:dyDescent="0.2">
      <c r="C30" s="232" t="s">
        <v>40</v>
      </c>
      <c r="D30" s="233"/>
      <c r="E30" s="234" t="s">
        <v>41</v>
      </c>
      <c r="F30" s="235"/>
    </row>
    <row r="31" spans="3:6" ht="35.25" customHeight="1" x14ac:dyDescent="0.2">
      <c r="C31" s="232" t="s">
        <v>42</v>
      </c>
      <c r="D31" s="233"/>
      <c r="E31" s="234" t="s">
        <v>43</v>
      </c>
      <c r="F31" s="235"/>
    </row>
    <row r="32" spans="3:6" ht="31.5" customHeight="1" x14ac:dyDescent="0.2">
      <c r="C32" s="232" t="s">
        <v>44</v>
      </c>
      <c r="D32" s="233"/>
      <c r="E32" s="234" t="s">
        <v>45</v>
      </c>
      <c r="F32" s="235"/>
    </row>
    <row r="33" spans="2:8" ht="35.25" customHeight="1" x14ac:dyDescent="0.2">
      <c r="B33" s="8"/>
      <c r="C33" s="232" t="s">
        <v>46</v>
      </c>
      <c r="D33" s="233"/>
      <c r="E33" s="234" t="s">
        <v>47</v>
      </c>
      <c r="F33" s="235"/>
      <c r="G33" s="9"/>
      <c r="H33" s="12"/>
    </row>
    <row r="34" spans="2:8" ht="59.25" customHeight="1" x14ac:dyDescent="0.2">
      <c r="B34" s="8"/>
      <c r="C34" s="232" t="s">
        <v>48</v>
      </c>
      <c r="D34" s="233"/>
      <c r="E34" s="234" t="s">
        <v>49</v>
      </c>
      <c r="F34" s="235"/>
      <c r="G34" s="9"/>
      <c r="H34" s="12"/>
    </row>
    <row r="35" spans="2:8" ht="29.25" customHeight="1" x14ac:dyDescent="0.2">
      <c r="B35" s="8"/>
      <c r="C35" s="232" t="s">
        <v>50</v>
      </c>
      <c r="D35" s="233"/>
      <c r="E35" s="234" t="s">
        <v>51</v>
      </c>
      <c r="F35" s="235"/>
      <c r="G35" s="9"/>
      <c r="H35" s="12"/>
    </row>
    <row r="36" spans="2:8" ht="82.5" customHeight="1" x14ac:dyDescent="0.2">
      <c r="B36" s="8"/>
      <c r="C36" s="232" t="s">
        <v>52</v>
      </c>
      <c r="D36" s="233"/>
      <c r="E36" s="234" t="s">
        <v>53</v>
      </c>
      <c r="F36" s="235"/>
      <c r="G36" s="9"/>
      <c r="H36" s="12"/>
    </row>
    <row r="37" spans="2:8" ht="46.5" customHeight="1" x14ac:dyDescent="0.2">
      <c r="B37" s="8"/>
      <c r="C37" s="232" t="s">
        <v>54</v>
      </c>
      <c r="D37" s="233"/>
      <c r="E37" s="234" t="s">
        <v>55</v>
      </c>
      <c r="F37" s="235"/>
      <c r="G37" s="9"/>
      <c r="H37" s="12"/>
    </row>
    <row r="38" spans="2:8" ht="6.75" customHeight="1" x14ac:dyDescent="0.2">
      <c r="B38" s="8"/>
      <c r="C38" s="241"/>
      <c r="D38" s="242"/>
      <c r="E38" s="236"/>
      <c r="F38" s="237"/>
      <c r="G38" s="9"/>
      <c r="H38" s="12"/>
    </row>
    <row r="39" spans="2:8" ht="15.75" customHeight="1" x14ac:dyDescent="0.2">
      <c r="B39" s="8"/>
      <c r="C39" s="13"/>
      <c r="D39" s="13"/>
      <c r="E39" s="14"/>
      <c r="F39" s="14"/>
      <c r="G39" s="9"/>
      <c r="H39" s="12"/>
    </row>
    <row r="40" spans="2:8" ht="21" customHeight="1" x14ac:dyDescent="0.2">
      <c r="B40" s="238" t="s">
        <v>56</v>
      </c>
      <c r="C40" s="239"/>
      <c r="D40" s="239"/>
      <c r="E40" s="239"/>
      <c r="F40" s="239"/>
      <c r="G40" s="239"/>
      <c r="H40" s="240"/>
    </row>
    <row r="41" spans="2:8" ht="20.25" customHeight="1" x14ac:dyDescent="0.2">
      <c r="B41" s="238" t="s">
        <v>57</v>
      </c>
      <c r="C41" s="239"/>
      <c r="D41" s="239"/>
      <c r="E41" s="239"/>
      <c r="F41" s="239"/>
      <c r="G41" s="239"/>
      <c r="H41" s="240"/>
    </row>
    <row r="42" spans="2:8" ht="20.25" customHeight="1" x14ac:dyDescent="0.2">
      <c r="B42" s="238" t="s">
        <v>58</v>
      </c>
      <c r="C42" s="239"/>
      <c r="D42" s="239"/>
      <c r="E42" s="239"/>
      <c r="F42" s="239"/>
      <c r="G42" s="239"/>
      <c r="H42" s="240"/>
    </row>
    <row r="43" spans="2:8" ht="20.25" customHeight="1" x14ac:dyDescent="0.2">
      <c r="B43" s="238" t="s">
        <v>59</v>
      </c>
      <c r="C43" s="239"/>
      <c r="D43" s="239"/>
      <c r="E43" s="239"/>
      <c r="F43" s="239"/>
      <c r="G43" s="239"/>
      <c r="H43" s="240"/>
    </row>
    <row r="44" spans="2:8" ht="15.75" customHeight="1" x14ac:dyDescent="0.2">
      <c r="B44" s="238" t="s">
        <v>60</v>
      </c>
      <c r="C44" s="239"/>
      <c r="D44" s="239"/>
      <c r="E44" s="239"/>
      <c r="F44" s="239"/>
      <c r="G44" s="239"/>
      <c r="H44" s="240"/>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51"/>
  <sheetViews>
    <sheetView topLeftCell="A16" zoomScale="40" zoomScaleNormal="40" workbookViewId="0">
      <selection activeCell="V22" sqref="V22:W23"/>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85" t="s">
        <v>93</v>
      </c>
      <c r="C2" s="211"/>
      <c r="D2" s="211"/>
      <c r="E2" s="211"/>
      <c r="F2" s="211"/>
      <c r="G2" s="211"/>
      <c r="H2" s="211"/>
      <c r="I2" s="211"/>
      <c r="J2" s="286" t="s">
        <v>15</v>
      </c>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48"/>
      <c r="AN2" s="1"/>
      <c r="AO2" s="1"/>
      <c r="AP2" s="1"/>
      <c r="AQ2" s="1"/>
      <c r="AR2" s="1"/>
      <c r="AS2" s="1"/>
      <c r="AT2" s="1"/>
    </row>
    <row r="3" spans="2:46" ht="18.75" customHeight="1" x14ac:dyDescent="0.25">
      <c r="B3" s="211"/>
      <c r="C3" s="211"/>
      <c r="D3" s="211"/>
      <c r="E3" s="211"/>
      <c r="F3" s="211"/>
      <c r="G3" s="211"/>
      <c r="H3" s="211"/>
      <c r="I3" s="211"/>
      <c r="J3" s="288"/>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89"/>
      <c r="AN3" s="1"/>
      <c r="AO3" s="1"/>
      <c r="AP3" s="1"/>
      <c r="AQ3" s="1"/>
      <c r="AR3" s="1"/>
      <c r="AS3" s="1"/>
      <c r="AT3" s="1"/>
    </row>
    <row r="4" spans="2:46" ht="15" customHeight="1" x14ac:dyDescent="0.25">
      <c r="B4" s="211"/>
      <c r="C4" s="211"/>
      <c r="D4" s="211"/>
      <c r="E4" s="211"/>
      <c r="F4" s="211"/>
      <c r="G4" s="211"/>
      <c r="H4" s="211"/>
      <c r="I4" s="211"/>
      <c r="J4" s="245"/>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50"/>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291" t="s">
        <v>94</v>
      </c>
      <c r="C6" s="287"/>
      <c r="D6" s="244"/>
      <c r="E6" s="279" t="s">
        <v>95</v>
      </c>
      <c r="F6" s="280"/>
      <c r="G6" s="280"/>
      <c r="H6" s="280"/>
      <c r="I6" s="262"/>
      <c r="J6" s="252" t="str">
        <f>IF(AND('Mapa final'!$H$16="Muy Alta",'Mapa final'!$L$16="Leve"),CONCATENATE("R",'Mapa final'!$A$16),"")</f>
        <v/>
      </c>
      <c r="K6" s="253"/>
      <c r="L6" s="254" t="str">
        <f>IF(AND('Mapa final'!$H$21="Muy Alta",'Mapa final'!$L$21="Leve"),CONCATENATE("R",'Mapa final'!$A$21),"")</f>
        <v/>
      </c>
      <c r="M6" s="253"/>
      <c r="N6" s="254" t="str">
        <f>IF(AND('Mapa final'!$H$26="Muy Alta",'Mapa final'!$L$26="Leve"),CONCATENATE("R",'Mapa final'!$A$26),"")</f>
        <v/>
      </c>
      <c r="O6" s="262"/>
      <c r="P6" s="252" t="str">
        <f>IF(AND('Mapa final'!$H$16="Muy Alta",'Mapa final'!$L$16="Menor"),CONCATENATE("R",'Mapa final'!$A$16),"")</f>
        <v/>
      </c>
      <c r="Q6" s="253"/>
      <c r="R6" s="254" t="str">
        <f>IF(AND('Mapa final'!$H$21="Muy Alta",'Mapa final'!$L$21="Menor"),CONCATENATE("R",'Mapa final'!$A$21),"")</f>
        <v/>
      </c>
      <c r="S6" s="253"/>
      <c r="T6" s="254" t="str">
        <f>IF(AND('Mapa final'!$H$26="Muy Alta",'Mapa final'!$L$26="Menor"),CONCATENATE("R",'Mapa final'!$A$26),"")</f>
        <v/>
      </c>
      <c r="U6" s="262"/>
      <c r="V6" s="252" t="str">
        <f>IF(AND('Mapa final'!$H$16="Muy Alta",'Mapa final'!$L$16="Moderado"),CONCATENATE("R",'Mapa final'!$A$16),"")</f>
        <v/>
      </c>
      <c r="W6" s="253"/>
      <c r="X6" s="254" t="str">
        <f>IF(AND('Mapa final'!$H$21="Muy Alta",'Mapa final'!$L$21="Moderado"),CONCATENATE("R",'Mapa final'!$A$21),"")</f>
        <v/>
      </c>
      <c r="Y6" s="253"/>
      <c r="Z6" s="254" t="str">
        <f>IF(AND('Mapa final'!$H$26="Muy Alta",'Mapa final'!$L$26="Moderado"),CONCATENATE("R",'Mapa final'!$A$26),"")</f>
        <v/>
      </c>
      <c r="AA6" s="262"/>
      <c r="AB6" s="252" t="str">
        <f>IF(AND('Mapa final'!$H$16="Muy Alta",'Mapa final'!$L$16="Mayor"),CONCATENATE("R",'Mapa final'!$A$16),"")</f>
        <v/>
      </c>
      <c r="AC6" s="253"/>
      <c r="AD6" s="254" t="str">
        <f>IF(AND('Mapa final'!$H$21="Muy Alta",'Mapa final'!$L$21="Mayor"),CONCATENATE("R",'Mapa final'!$A$21),"")</f>
        <v/>
      </c>
      <c r="AE6" s="253"/>
      <c r="AF6" s="254" t="str">
        <f>IF(AND('Mapa final'!$H$26="Muy Alta",'Mapa final'!$L$26="Mayor"),CONCATENATE("R",'Mapa final'!$A$26),"")</f>
        <v/>
      </c>
      <c r="AG6" s="262"/>
      <c r="AH6" s="264" t="str">
        <f>IF(AND('Mapa final'!$H$16="Muy Alta",'Mapa final'!$L$16="Catastrófico"),CONCATENATE("R",'Mapa final'!$A$16),"")</f>
        <v/>
      </c>
      <c r="AI6" s="253"/>
      <c r="AJ6" s="256" t="str">
        <f>IF(AND('Mapa final'!$H$21="Muy Alta",'Mapa final'!$L$21="Catastrófico"),CONCATENATE("R",'Mapa final'!$A$21),"")</f>
        <v/>
      </c>
      <c r="AK6" s="253"/>
      <c r="AL6" s="256" t="str">
        <f>IF(AND('Mapa final'!$H$26="Muy Alta",'Mapa final'!$L$26="Catastrófico"),CONCATENATE("R",'Mapa final'!$A$26),"")</f>
        <v/>
      </c>
      <c r="AM6" s="262"/>
      <c r="AO6" s="278" t="s">
        <v>96</v>
      </c>
      <c r="AP6" s="269"/>
      <c r="AQ6" s="269"/>
      <c r="AR6" s="269"/>
      <c r="AS6" s="269"/>
      <c r="AT6" s="270"/>
    </row>
    <row r="7" spans="2:46" ht="15" customHeight="1" x14ac:dyDescent="0.25">
      <c r="B7" s="288"/>
      <c r="C7" s="211"/>
      <c r="D7" s="212"/>
      <c r="E7" s="223"/>
      <c r="F7" s="211"/>
      <c r="G7" s="211"/>
      <c r="H7" s="211"/>
      <c r="I7" s="212"/>
      <c r="J7" s="249"/>
      <c r="K7" s="250"/>
      <c r="L7" s="245"/>
      <c r="M7" s="250"/>
      <c r="N7" s="245"/>
      <c r="O7" s="246"/>
      <c r="P7" s="249"/>
      <c r="Q7" s="250"/>
      <c r="R7" s="245"/>
      <c r="S7" s="250"/>
      <c r="T7" s="245"/>
      <c r="U7" s="246"/>
      <c r="V7" s="249"/>
      <c r="W7" s="250"/>
      <c r="X7" s="245"/>
      <c r="Y7" s="250"/>
      <c r="Z7" s="245"/>
      <c r="AA7" s="246"/>
      <c r="AB7" s="249"/>
      <c r="AC7" s="250"/>
      <c r="AD7" s="245"/>
      <c r="AE7" s="250"/>
      <c r="AF7" s="245"/>
      <c r="AG7" s="246"/>
      <c r="AH7" s="249"/>
      <c r="AI7" s="250"/>
      <c r="AJ7" s="245"/>
      <c r="AK7" s="250"/>
      <c r="AL7" s="245"/>
      <c r="AM7" s="246"/>
      <c r="AN7" s="1"/>
      <c r="AO7" s="271"/>
      <c r="AP7" s="211"/>
      <c r="AQ7" s="211"/>
      <c r="AR7" s="211"/>
      <c r="AS7" s="211"/>
      <c r="AT7" s="272"/>
    </row>
    <row r="8" spans="2:46" ht="15" customHeight="1" x14ac:dyDescent="0.25">
      <c r="B8" s="288"/>
      <c r="C8" s="211"/>
      <c r="D8" s="212"/>
      <c r="E8" s="223"/>
      <c r="F8" s="211"/>
      <c r="G8" s="211"/>
      <c r="H8" s="211"/>
      <c r="I8" s="212"/>
      <c r="J8" s="255" t="str">
        <f>IF(AND('Mapa final'!$H$31="Muy Alta",'Mapa final'!$L$31="Leve"),CONCATENATE("R",'Mapa final'!$A$31),"")</f>
        <v/>
      </c>
      <c r="K8" s="248"/>
      <c r="L8" s="243" t="str">
        <f>IF(AND('Mapa final'!$H$36="Muy Alta",'Mapa final'!$L$36="Leve"),CONCATENATE("R",'Mapa final'!$A$36),"")</f>
        <v/>
      </c>
      <c r="M8" s="248"/>
      <c r="N8" s="243" t="str">
        <f>IF(AND('Mapa final'!$H$41="Muy Alta",'Mapa final'!$L$41="Leve"),CONCATENATE("R",'Mapa final'!$A$41),"")</f>
        <v/>
      </c>
      <c r="O8" s="244"/>
      <c r="P8" s="255" t="str">
        <f>IF(AND('Mapa final'!$H$31="Muy Alta",'Mapa final'!$L$31="Menor"),CONCATENATE("R",'Mapa final'!$A$31),"")</f>
        <v/>
      </c>
      <c r="Q8" s="248"/>
      <c r="R8" s="243" t="str">
        <f>IF(AND('Mapa final'!$H$36="Muy Alta",'Mapa final'!$L$36="Menor"),CONCATENATE("R",'Mapa final'!$A$36),"")</f>
        <v/>
      </c>
      <c r="S8" s="248"/>
      <c r="T8" s="243" t="str">
        <f>IF(AND('Mapa final'!$H$41="Muy Alta",'Mapa final'!$L$41="Menor"),CONCATENATE("R",'Mapa final'!$A$41),"")</f>
        <v/>
      </c>
      <c r="U8" s="244"/>
      <c r="V8" s="255" t="str">
        <f>IF(AND('Mapa final'!$H$31="Muy Alta",'Mapa final'!$L$31="Moderado"),CONCATENATE("R",'Mapa final'!$A$31),"")</f>
        <v/>
      </c>
      <c r="W8" s="248"/>
      <c r="X8" s="243" t="str">
        <f>IF(AND('Mapa final'!$H$36="Muy Alta",'Mapa final'!$L$36="Moderado"),CONCATENATE("R",'Mapa final'!$A$36),"")</f>
        <v/>
      </c>
      <c r="Y8" s="248"/>
      <c r="Z8" s="243" t="str">
        <f>IF(AND('Mapa final'!$H$41="Muy Alta",'Mapa final'!$L$41="Moderado"),CONCATENATE("R",'Mapa final'!$A$41),"")</f>
        <v/>
      </c>
      <c r="AA8" s="244"/>
      <c r="AB8" s="255" t="str">
        <f>IF(AND('Mapa final'!$H$31="Muy Alta",'Mapa final'!$L$31="Mayor"),CONCATENATE("R",'Mapa final'!$A$31),"")</f>
        <v/>
      </c>
      <c r="AC8" s="248"/>
      <c r="AD8" s="243" t="str">
        <f>IF(AND('Mapa final'!$H$36="Muy Alta",'Mapa final'!$L$36="Mayor"),CONCATENATE("R",'Mapa final'!$A$36),"")</f>
        <v/>
      </c>
      <c r="AE8" s="248"/>
      <c r="AF8" s="243" t="str">
        <f>IF(AND('Mapa final'!$H$41="Muy Alta",'Mapa final'!$L$41="Mayor"),CONCATENATE("R",'Mapa final'!$A$41),"")</f>
        <v/>
      </c>
      <c r="AG8" s="244"/>
      <c r="AH8" s="247" t="str">
        <f>IF(AND('Mapa final'!$H$31="Muy Alta",'Mapa final'!$L$31="Catastrófico"),CONCATENATE("R",'Mapa final'!$A$31),"")</f>
        <v/>
      </c>
      <c r="AI8" s="248"/>
      <c r="AJ8" s="251" t="str">
        <f>IF(AND('Mapa final'!$H$36="Muy Alta",'Mapa final'!$L$36="Catastrófico"),CONCATENATE("R",'Mapa final'!$A$36),"")</f>
        <v/>
      </c>
      <c r="AK8" s="248"/>
      <c r="AL8" s="251" t="str">
        <f>IF(AND('Mapa final'!$H$41="Muy Alta",'Mapa final'!$L$41="Catastrófico"),CONCATENATE("R",'Mapa final'!$A$41),"")</f>
        <v/>
      </c>
      <c r="AM8" s="244"/>
      <c r="AN8" s="1"/>
      <c r="AO8" s="271"/>
      <c r="AP8" s="211"/>
      <c r="AQ8" s="211"/>
      <c r="AR8" s="211"/>
      <c r="AS8" s="211"/>
      <c r="AT8" s="272"/>
    </row>
    <row r="9" spans="2:46" ht="15" customHeight="1" x14ac:dyDescent="0.25">
      <c r="B9" s="288"/>
      <c r="C9" s="211"/>
      <c r="D9" s="212"/>
      <c r="E9" s="223"/>
      <c r="F9" s="211"/>
      <c r="G9" s="211"/>
      <c r="H9" s="211"/>
      <c r="I9" s="212"/>
      <c r="J9" s="249"/>
      <c r="K9" s="250"/>
      <c r="L9" s="245"/>
      <c r="M9" s="250"/>
      <c r="N9" s="245"/>
      <c r="O9" s="246"/>
      <c r="P9" s="249"/>
      <c r="Q9" s="250"/>
      <c r="R9" s="245"/>
      <c r="S9" s="250"/>
      <c r="T9" s="245"/>
      <c r="U9" s="246"/>
      <c r="V9" s="249"/>
      <c r="W9" s="250"/>
      <c r="X9" s="245"/>
      <c r="Y9" s="250"/>
      <c r="Z9" s="245"/>
      <c r="AA9" s="246"/>
      <c r="AB9" s="249"/>
      <c r="AC9" s="250"/>
      <c r="AD9" s="245"/>
      <c r="AE9" s="250"/>
      <c r="AF9" s="245"/>
      <c r="AG9" s="246"/>
      <c r="AH9" s="249"/>
      <c r="AI9" s="250"/>
      <c r="AJ9" s="245"/>
      <c r="AK9" s="250"/>
      <c r="AL9" s="245"/>
      <c r="AM9" s="246"/>
      <c r="AN9" s="1"/>
      <c r="AO9" s="271"/>
      <c r="AP9" s="211"/>
      <c r="AQ9" s="211"/>
      <c r="AR9" s="211"/>
      <c r="AS9" s="211"/>
      <c r="AT9" s="272"/>
    </row>
    <row r="10" spans="2:46" ht="15" customHeight="1" x14ac:dyDescent="0.25">
      <c r="B10" s="288"/>
      <c r="C10" s="211"/>
      <c r="D10" s="212"/>
      <c r="E10" s="223"/>
      <c r="F10" s="211"/>
      <c r="G10" s="211"/>
      <c r="H10" s="211"/>
      <c r="I10" s="212"/>
      <c r="J10" s="255" t="e">
        <f>IF(AND('Mapa final'!#REF!="Muy Alta",'Mapa final'!#REF!="Leve"),CONCATENATE("R",'Mapa final'!#REF!),"")</f>
        <v>#REF!</v>
      </c>
      <c r="K10" s="248"/>
      <c r="L10" s="243" t="e">
        <f>IF(AND('Mapa final'!#REF!="Muy Alta",'Mapa final'!#REF!="Leve"),CONCATENATE("R",'Mapa final'!#REF!),"")</f>
        <v>#REF!</v>
      </c>
      <c r="M10" s="248"/>
      <c r="N10" s="243" t="e">
        <f>IF(AND('Mapa final'!#REF!="Muy Alta",'Mapa final'!#REF!="Leve"),CONCATENATE("R",'Mapa final'!#REF!),"")</f>
        <v>#REF!</v>
      </c>
      <c r="O10" s="244"/>
      <c r="P10" s="255" t="e">
        <f>IF(AND('Mapa final'!#REF!="Muy Alta",'Mapa final'!#REF!="Menor"),CONCATENATE("R",'Mapa final'!#REF!),"")</f>
        <v>#REF!</v>
      </c>
      <c r="Q10" s="248"/>
      <c r="R10" s="243" t="e">
        <f>IF(AND('Mapa final'!#REF!="Muy Alta",'Mapa final'!#REF!="Menor"),CONCATENATE("R",'Mapa final'!#REF!),"")</f>
        <v>#REF!</v>
      </c>
      <c r="S10" s="248"/>
      <c r="T10" s="243" t="e">
        <f>IF(AND('Mapa final'!#REF!="Muy Alta",'Mapa final'!#REF!="Menor"),CONCATENATE("R",'Mapa final'!#REF!),"")</f>
        <v>#REF!</v>
      </c>
      <c r="U10" s="244"/>
      <c r="V10" s="255" t="e">
        <f>IF(AND('Mapa final'!#REF!="Muy Alta",'Mapa final'!#REF!="Moderado"),CONCATENATE("R",'Mapa final'!#REF!),"")</f>
        <v>#REF!</v>
      </c>
      <c r="W10" s="248"/>
      <c r="X10" s="243" t="e">
        <f>IF(AND('Mapa final'!#REF!="Muy Alta",'Mapa final'!#REF!="Moderado"),CONCATENATE("R",'Mapa final'!#REF!),"")</f>
        <v>#REF!</v>
      </c>
      <c r="Y10" s="248"/>
      <c r="Z10" s="243" t="e">
        <f>IF(AND('Mapa final'!#REF!="Muy Alta",'Mapa final'!#REF!="Moderado"),CONCATENATE("R",'Mapa final'!#REF!),"")</f>
        <v>#REF!</v>
      </c>
      <c r="AA10" s="244"/>
      <c r="AB10" s="255" t="e">
        <f>IF(AND('Mapa final'!#REF!="Muy Alta",'Mapa final'!#REF!="Mayor"),CONCATENATE("R",'Mapa final'!#REF!),"")</f>
        <v>#REF!</v>
      </c>
      <c r="AC10" s="248"/>
      <c r="AD10" s="243" t="e">
        <f>IF(AND('Mapa final'!#REF!="Muy Alta",'Mapa final'!#REF!="Mayor"),CONCATENATE("R",'Mapa final'!#REF!),"")</f>
        <v>#REF!</v>
      </c>
      <c r="AE10" s="248"/>
      <c r="AF10" s="243" t="e">
        <f>IF(AND('Mapa final'!#REF!="Muy Alta",'Mapa final'!#REF!="Mayor"),CONCATENATE("R",'Mapa final'!#REF!),"")</f>
        <v>#REF!</v>
      </c>
      <c r="AG10" s="244"/>
      <c r="AH10" s="247" t="e">
        <f>IF(AND('Mapa final'!#REF!="Muy Alta",'Mapa final'!#REF!="Catastrófico"),CONCATENATE("R",'Mapa final'!#REF!),"")</f>
        <v>#REF!</v>
      </c>
      <c r="AI10" s="248"/>
      <c r="AJ10" s="251" t="e">
        <f>IF(AND('Mapa final'!#REF!="Muy Alta",'Mapa final'!#REF!="Catastrófico"),CONCATENATE("R",'Mapa final'!#REF!),"")</f>
        <v>#REF!</v>
      </c>
      <c r="AK10" s="248"/>
      <c r="AL10" s="251" t="e">
        <f>IF(AND('Mapa final'!#REF!="Muy Alta",'Mapa final'!#REF!="Catastrófico"),CONCATENATE("R",'Mapa final'!#REF!),"")</f>
        <v>#REF!</v>
      </c>
      <c r="AM10" s="244"/>
      <c r="AN10" s="1"/>
      <c r="AO10" s="271"/>
      <c r="AP10" s="211"/>
      <c r="AQ10" s="211"/>
      <c r="AR10" s="211"/>
      <c r="AS10" s="211"/>
      <c r="AT10" s="272"/>
    </row>
    <row r="11" spans="2:46" ht="15" customHeight="1" x14ac:dyDescent="0.25">
      <c r="B11" s="288"/>
      <c r="C11" s="211"/>
      <c r="D11" s="212"/>
      <c r="E11" s="223"/>
      <c r="F11" s="211"/>
      <c r="G11" s="211"/>
      <c r="H11" s="211"/>
      <c r="I11" s="212"/>
      <c r="J11" s="249"/>
      <c r="K11" s="250"/>
      <c r="L11" s="245"/>
      <c r="M11" s="250"/>
      <c r="N11" s="245"/>
      <c r="O11" s="246"/>
      <c r="P11" s="249"/>
      <c r="Q11" s="250"/>
      <c r="R11" s="245"/>
      <c r="S11" s="250"/>
      <c r="T11" s="245"/>
      <c r="U11" s="246"/>
      <c r="V11" s="249"/>
      <c r="W11" s="250"/>
      <c r="X11" s="245"/>
      <c r="Y11" s="250"/>
      <c r="Z11" s="245"/>
      <c r="AA11" s="246"/>
      <c r="AB11" s="249"/>
      <c r="AC11" s="250"/>
      <c r="AD11" s="245"/>
      <c r="AE11" s="250"/>
      <c r="AF11" s="245"/>
      <c r="AG11" s="246"/>
      <c r="AH11" s="249"/>
      <c r="AI11" s="250"/>
      <c r="AJ11" s="245"/>
      <c r="AK11" s="250"/>
      <c r="AL11" s="245"/>
      <c r="AM11" s="246"/>
      <c r="AN11" s="1"/>
      <c r="AO11" s="271"/>
      <c r="AP11" s="211"/>
      <c r="AQ11" s="211"/>
      <c r="AR11" s="211"/>
      <c r="AS11" s="211"/>
      <c r="AT11" s="272"/>
    </row>
    <row r="12" spans="2:46" ht="15" customHeight="1" x14ac:dyDescent="0.25">
      <c r="B12" s="288"/>
      <c r="C12" s="211"/>
      <c r="D12" s="212"/>
      <c r="E12" s="223"/>
      <c r="F12" s="211"/>
      <c r="G12" s="211"/>
      <c r="H12" s="211"/>
      <c r="I12" s="212"/>
      <c r="J12" s="255" t="e">
        <f>IF(AND('Mapa final'!#REF!="Muy Alta",'Mapa final'!#REF!="Leve"),CONCATENATE("R",'Mapa final'!#REF!),"")</f>
        <v>#REF!</v>
      </c>
      <c r="K12" s="248"/>
      <c r="L12" s="243" t="str">
        <f>IF(AND('Mapa final'!$H$46="Muy Alta",'Mapa final'!$L$46="Leve"),CONCATENATE("R",'Mapa final'!$A$46),"")</f>
        <v/>
      </c>
      <c r="M12" s="248"/>
      <c r="N12" s="243" t="str">
        <f>IF(AND('Mapa final'!$H$52="Muy Alta",'Mapa final'!$L$52="Leve"),CONCATENATE("R",'Mapa final'!$A$52),"")</f>
        <v/>
      </c>
      <c r="O12" s="244"/>
      <c r="P12" s="255" t="e">
        <f>IF(AND('Mapa final'!#REF!="Muy Alta",'Mapa final'!#REF!="Menor"),CONCATENATE("R",'Mapa final'!#REF!),"")</f>
        <v>#REF!</v>
      </c>
      <c r="Q12" s="248"/>
      <c r="R12" s="243" t="str">
        <f>IF(AND('Mapa final'!$H$46="Muy Alta",'Mapa final'!$L$46="Menor"),CONCATENATE("R",'Mapa final'!$A$46),"")</f>
        <v/>
      </c>
      <c r="S12" s="248"/>
      <c r="T12" s="243" t="str">
        <f>IF(AND('Mapa final'!$H$52="Muy Alta",'Mapa final'!$L$52="Menor"),CONCATENATE("R",'Mapa final'!$A$52),"")</f>
        <v/>
      </c>
      <c r="U12" s="244"/>
      <c r="V12" s="255" t="e">
        <f>IF(AND('Mapa final'!#REF!="Muy Alta",'Mapa final'!#REF!="Moderado"),CONCATENATE("R",'Mapa final'!#REF!),"")</f>
        <v>#REF!</v>
      </c>
      <c r="W12" s="248"/>
      <c r="X12" s="243" t="str">
        <f>IF(AND('Mapa final'!$H$46="Muy Alta",'Mapa final'!$L$46="Moderado"),CONCATENATE("R",'Mapa final'!$A$46),"")</f>
        <v/>
      </c>
      <c r="Y12" s="248"/>
      <c r="Z12" s="243" t="str">
        <f>IF(AND('Mapa final'!$H$52="Muy Alta",'Mapa final'!$L$52="Moderado"),CONCATENATE("R",'Mapa final'!$A$52),"")</f>
        <v/>
      </c>
      <c r="AA12" s="244"/>
      <c r="AB12" s="255" t="e">
        <f>IF(AND('Mapa final'!#REF!="Muy Alta",'Mapa final'!#REF!="Mayor"),CONCATENATE("R",'Mapa final'!#REF!),"")</f>
        <v>#REF!</v>
      </c>
      <c r="AC12" s="248"/>
      <c r="AD12" s="243" t="str">
        <f>IF(AND('Mapa final'!$H$46="Muy Alta",'Mapa final'!$L$46="Mayor"),CONCATENATE("R",'Mapa final'!$A$46),"")</f>
        <v/>
      </c>
      <c r="AE12" s="248"/>
      <c r="AF12" s="243" t="str">
        <f>IF(AND('Mapa final'!$H$52="Muy Alta",'Mapa final'!$L$52="Mayor"),CONCATENATE("R",'Mapa final'!$A$52),"")</f>
        <v/>
      </c>
      <c r="AG12" s="244"/>
      <c r="AH12" s="247" t="e">
        <f>IF(AND('Mapa final'!#REF!="Muy Alta",'Mapa final'!#REF!="Catastrófico"),CONCATENATE("R",'Mapa final'!#REF!),"")</f>
        <v>#REF!</v>
      </c>
      <c r="AI12" s="248"/>
      <c r="AJ12" s="251" t="str">
        <f>IF(AND('Mapa final'!$H$46="Muy Alta",'Mapa final'!$L$46="Catastrófico"),CONCATENATE("R",'Mapa final'!$A$46),"")</f>
        <v/>
      </c>
      <c r="AK12" s="248"/>
      <c r="AL12" s="251" t="str">
        <f>IF(AND('Mapa final'!$H$52="Muy Alta",'Mapa final'!$L$52="Catastrófico"),CONCATENATE("R",'Mapa final'!$A$52),"")</f>
        <v/>
      </c>
      <c r="AM12" s="244"/>
      <c r="AN12" s="1"/>
      <c r="AO12" s="271"/>
      <c r="AP12" s="211"/>
      <c r="AQ12" s="211"/>
      <c r="AR12" s="211"/>
      <c r="AS12" s="211"/>
      <c r="AT12" s="272"/>
    </row>
    <row r="13" spans="2:46" ht="15.75" customHeight="1" x14ac:dyDescent="0.25">
      <c r="B13" s="288"/>
      <c r="C13" s="211"/>
      <c r="D13" s="212"/>
      <c r="E13" s="257"/>
      <c r="F13" s="281"/>
      <c r="G13" s="281"/>
      <c r="H13" s="281"/>
      <c r="I13" s="260"/>
      <c r="J13" s="249"/>
      <c r="K13" s="250"/>
      <c r="L13" s="245"/>
      <c r="M13" s="250"/>
      <c r="N13" s="245"/>
      <c r="O13" s="246"/>
      <c r="P13" s="249"/>
      <c r="Q13" s="250"/>
      <c r="R13" s="245"/>
      <c r="S13" s="250"/>
      <c r="T13" s="245"/>
      <c r="U13" s="246"/>
      <c r="V13" s="249"/>
      <c r="W13" s="250"/>
      <c r="X13" s="245"/>
      <c r="Y13" s="250"/>
      <c r="Z13" s="245"/>
      <c r="AA13" s="246"/>
      <c r="AB13" s="249"/>
      <c r="AC13" s="250"/>
      <c r="AD13" s="245"/>
      <c r="AE13" s="250"/>
      <c r="AF13" s="245"/>
      <c r="AG13" s="246"/>
      <c r="AH13" s="257"/>
      <c r="AI13" s="258"/>
      <c r="AJ13" s="259"/>
      <c r="AK13" s="258"/>
      <c r="AL13" s="259"/>
      <c r="AM13" s="260"/>
      <c r="AN13" s="1"/>
      <c r="AO13" s="273"/>
      <c r="AP13" s="274"/>
      <c r="AQ13" s="274"/>
      <c r="AR13" s="274"/>
      <c r="AS13" s="274"/>
      <c r="AT13" s="275"/>
    </row>
    <row r="14" spans="2:46" ht="15" customHeight="1" x14ac:dyDescent="0.25">
      <c r="B14" s="288"/>
      <c r="C14" s="211"/>
      <c r="D14" s="212"/>
      <c r="E14" s="279" t="s">
        <v>97</v>
      </c>
      <c r="F14" s="280"/>
      <c r="G14" s="280"/>
      <c r="H14" s="280"/>
      <c r="I14" s="280"/>
      <c r="J14" s="263" t="str">
        <f>IF(AND('Mapa final'!$H$16="Alta",'Mapa final'!$L$16="Leve"),CONCATENATE("R",'Mapa final'!$A$16),"")</f>
        <v/>
      </c>
      <c r="K14" s="253"/>
      <c r="L14" s="261" t="str">
        <f>IF(AND('Mapa final'!$H$21="Alta",'Mapa final'!$L$21="Leve"),CONCATENATE("R",'Mapa final'!$A$21),"")</f>
        <v/>
      </c>
      <c r="M14" s="253"/>
      <c r="N14" s="261" t="str">
        <f>IF(AND('Mapa final'!$H$26="Alta",'Mapa final'!$L$26="Leve"),CONCATENATE("R",'Mapa final'!$A$26),"")</f>
        <v/>
      </c>
      <c r="O14" s="262"/>
      <c r="P14" s="263" t="str">
        <f>IF(AND('Mapa final'!$H$16="Alta",'Mapa final'!$L$16="Menor"),CONCATENATE("R",'Mapa final'!$A$16),"")</f>
        <v/>
      </c>
      <c r="Q14" s="253"/>
      <c r="R14" s="261" t="str">
        <f>IF(AND('Mapa final'!$H$21="Alta",'Mapa final'!$L$21="Menor"),CONCATENATE("R",'Mapa final'!$A$21),"")</f>
        <v/>
      </c>
      <c r="S14" s="253"/>
      <c r="T14" s="261" t="str">
        <f>IF(AND('Mapa final'!$H$26="Alta",'Mapa final'!$L$26="Menor"),CONCATENATE("R",'Mapa final'!$A$26),"")</f>
        <v/>
      </c>
      <c r="U14" s="262"/>
      <c r="V14" s="252" t="str">
        <f>IF(AND('Mapa final'!$H$16="Alta",'Mapa final'!$L$16="Moderado"),CONCATENATE("R",'Mapa final'!$A$16),"")</f>
        <v/>
      </c>
      <c r="W14" s="253"/>
      <c r="X14" s="254" t="str">
        <f>IF(AND('Mapa final'!$H$21="Alta",'Mapa final'!$L$21="Moderado"),CONCATENATE("R",'Mapa final'!$A$21),"")</f>
        <v/>
      </c>
      <c r="Y14" s="253"/>
      <c r="Z14" s="254" t="str">
        <f>IF(AND('Mapa final'!$H$26="Alta",'Mapa final'!$L$26="Moderado"),CONCATENATE("R",'Mapa final'!$A$26),"")</f>
        <v/>
      </c>
      <c r="AA14" s="262"/>
      <c r="AB14" s="252" t="str">
        <f>IF(AND('Mapa final'!$H$16="Alta",'Mapa final'!$L$16="Mayor"),CONCATENATE("R",'Mapa final'!$A$16),"")</f>
        <v/>
      </c>
      <c r="AC14" s="253"/>
      <c r="AD14" s="254" t="str">
        <f>IF(AND('Mapa final'!$H$21="Alta",'Mapa final'!$L$21="Mayor"),CONCATENATE("R",'Mapa final'!$A$21),"")</f>
        <v/>
      </c>
      <c r="AE14" s="253"/>
      <c r="AF14" s="254" t="str">
        <f>IF(AND('Mapa final'!$H$26="Alta",'Mapa final'!$L$26="Mayor"),CONCATENATE("R",'Mapa final'!$A$26),"")</f>
        <v/>
      </c>
      <c r="AG14" s="262"/>
      <c r="AH14" s="264" t="str">
        <f>IF(AND('Mapa final'!$H$16="Alta",'Mapa final'!$L$16="Catastrófico"),CONCATENATE("R",'Mapa final'!$A$16),"")</f>
        <v/>
      </c>
      <c r="AI14" s="253"/>
      <c r="AJ14" s="256" t="str">
        <f>IF(AND('Mapa final'!$H$21="Alta",'Mapa final'!$L$21="Catastrófico"),CONCATENATE("R",'Mapa final'!$A$21),"")</f>
        <v/>
      </c>
      <c r="AK14" s="253"/>
      <c r="AL14" s="256" t="str">
        <f>IF(AND('Mapa final'!$H$26="Alta",'Mapa final'!$L$26="Catastrófico"),CONCATENATE("R",'Mapa final'!$A$26),"")</f>
        <v/>
      </c>
      <c r="AM14" s="262"/>
      <c r="AN14" s="1"/>
      <c r="AO14" s="276" t="s">
        <v>98</v>
      </c>
      <c r="AP14" s="269"/>
      <c r="AQ14" s="269"/>
      <c r="AR14" s="269"/>
      <c r="AS14" s="269"/>
      <c r="AT14" s="270"/>
    </row>
    <row r="15" spans="2:46" ht="15" customHeight="1" x14ac:dyDescent="0.25">
      <c r="B15" s="288"/>
      <c r="C15" s="211"/>
      <c r="D15" s="212"/>
      <c r="E15" s="223"/>
      <c r="F15" s="211"/>
      <c r="G15" s="211"/>
      <c r="H15" s="211"/>
      <c r="I15" s="211"/>
      <c r="J15" s="249"/>
      <c r="K15" s="250"/>
      <c r="L15" s="245"/>
      <c r="M15" s="250"/>
      <c r="N15" s="245"/>
      <c r="O15" s="246"/>
      <c r="P15" s="249"/>
      <c r="Q15" s="250"/>
      <c r="R15" s="245"/>
      <c r="S15" s="250"/>
      <c r="T15" s="245"/>
      <c r="U15" s="246"/>
      <c r="V15" s="249"/>
      <c r="W15" s="250"/>
      <c r="X15" s="245"/>
      <c r="Y15" s="250"/>
      <c r="Z15" s="245"/>
      <c r="AA15" s="246"/>
      <c r="AB15" s="249"/>
      <c r="AC15" s="250"/>
      <c r="AD15" s="245"/>
      <c r="AE15" s="250"/>
      <c r="AF15" s="245"/>
      <c r="AG15" s="246"/>
      <c r="AH15" s="249"/>
      <c r="AI15" s="250"/>
      <c r="AJ15" s="245"/>
      <c r="AK15" s="250"/>
      <c r="AL15" s="245"/>
      <c r="AM15" s="246"/>
      <c r="AN15" s="1"/>
      <c r="AO15" s="271"/>
      <c r="AP15" s="211"/>
      <c r="AQ15" s="211"/>
      <c r="AR15" s="211"/>
      <c r="AS15" s="211"/>
      <c r="AT15" s="272"/>
    </row>
    <row r="16" spans="2:46" ht="15" customHeight="1" x14ac:dyDescent="0.25">
      <c r="B16" s="288"/>
      <c r="C16" s="211"/>
      <c r="D16" s="212"/>
      <c r="E16" s="223"/>
      <c r="F16" s="211"/>
      <c r="G16" s="211"/>
      <c r="H16" s="211"/>
      <c r="I16" s="211"/>
      <c r="J16" s="267" t="str">
        <f>IF(AND('Mapa final'!$H$31="Alta",'Mapa final'!$L$31="Leve"),CONCATENATE("R",'Mapa final'!$A$31),"")</f>
        <v/>
      </c>
      <c r="K16" s="248"/>
      <c r="L16" s="266" t="str">
        <f>IF(AND('Mapa final'!$H$36="Alta",'Mapa final'!$L$36="Leve"),CONCATENATE("R",'Mapa final'!$A$36),"")</f>
        <v/>
      </c>
      <c r="M16" s="248"/>
      <c r="N16" s="266" t="str">
        <f>IF(AND('Mapa final'!$H$41="Alta",'Mapa final'!$L$41="Leve"),CONCATENATE("R",'Mapa final'!$A$41),"")</f>
        <v/>
      </c>
      <c r="O16" s="244"/>
      <c r="P16" s="267" t="str">
        <f>IF(AND('Mapa final'!$H$31="Alta",'Mapa final'!$L$31="Menor"),CONCATENATE("R",'Mapa final'!$A$31),"")</f>
        <v/>
      </c>
      <c r="Q16" s="248"/>
      <c r="R16" s="266" t="str">
        <f>IF(AND('Mapa final'!$H$36="Alta",'Mapa final'!$L$36="Menor"),CONCATENATE("R",'Mapa final'!$A$36),"")</f>
        <v/>
      </c>
      <c r="S16" s="248"/>
      <c r="T16" s="266" t="str">
        <f>IF(AND('Mapa final'!$H$41="Alta",'Mapa final'!$L$41="Menor"),CONCATENATE("R",'Mapa final'!$A$41),"")</f>
        <v/>
      </c>
      <c r="U16" s="244"/>
      <c r="V16" s="255" t="str">
        <f>IF(AND('Mapa final'!$H$31="Alta",'Mapa final'!$L$31="Moderado"),CONCATENATE("R",'Mapa final'!$A$31),"")</f>
        <v/>
      </c>
      <c r="W16" s="248"/>
      <c r="X16" s="243" t="str">
        <f>IF(AND('Mapa final'!$H$36="Alta",'Mapa final'!$L$36="Moderado"),CONCATENATE("R",'Mapa final'!$A$36),"")</f>
        <v/>
      </c>
      <c r="Y16" s="248"/>
      <c r="Z16" s="243" t="str">
        <f>IF(AND('Mapa final'!$H$41="Alta",'Mapa final'!$L$41="Moderado"),CONCATENATE("R",'Mapa final'!$A$41),"")</f>
        <v/>
      </c>
      <c r="AA16" s="244"/>
      <c r="AB16" s="255" t="str">
        <f>IF(AND('Mapa final'!$H$31="Alta",'Mapa final'!$L$31="Mayor"),CONCATENATE("R",'Mapa final'!$A$31),"")</f>
        <v/>
      </c>
      <c r="AC16" s="248"/>
      <c r="AD16" s="243" t="str">
        <f>IF(AND('Mapa final'!$H$36="Alta",'Mapa final'!$L$36="Mayor"),CONCATENATE("R",'Mapa final'!$A$36),"")</f>
        <v/>
      </c>
      <c r="AE16" s="248"/>
      <c r="AF16" s="243" t="str">
        <f>IF(AND('Mapa final'!$H$41="Alta",'Mapa final'!$L$41="Mayor"),CONCATENATE("R",'Mapa final'!$A$41),"")</f>
        <v/>
      </c>
      <c r="AG16" s="244"/>
      <c r="AH16" s="247" t="str">
        <f>IF(AND('Mapa final'!$H$31="Alta",'Mapa final'!$L$31="Catastrófico"),CONCATENATE("R",'Mapa final'!$A$31),"")</f>
        <v/>
      </c>
      <c r="AI16" s="248"/>
      <c r="AJ16" s="251" t="str">
        <f>IF(AND('Mapa final'!$H$36="Alta",'Mapa final'!$L$36="Catastrófico"),CONCATENATE("R",'Mapa final'!$A$36),"")</f>
        <v/>
      </c>
      <c r="AK16" s="248"/>
      <c r="AL16" s="251" t="str">
        <f>IF(AND('Mapa final'!$H$41="Alta",'Mapa final'!$L$41="Catastrófico"),CONCATENATE("R",'Mapa final'!$A$41),"")</f>
        <v/>
      </c>
      <c r="AM16" s="244"/>
      <c r="AN16" s="1"/>
      <c r="AO16" s="271"/>
      <c r="AP16" s="211"/>
      <c r="AQ16" s="211"/>
      <c r="AR16" s="211"/>
      <c r="AS16" s="211"/>
      <c r="AT16" s="272"/>
    </row>
    <row r="17" spans="2:46" ht="15" customHeight="1" x14ac:dyDescent="0.25">
      <c r="B17" s="288"/>
      <c r="C17" s="211"/>
      <c r="D17" s="212"/>
      <c r="E17" s="223"/>
      <c r="F17" s="211"/>
      <c r="G17" s="211"/>
      <c r="H17" s="211"/>
      <c r="I17" s="211"/>
      <c r="J17" s="249"/>
      <c r="K17" s="250"/>
      <c r="L17" s="245"/>
      <c r="M17" s="250"/>
      <c r="N17" s="245"/>
      <c r="O17" s="246"/>
      <c r="P17" s="249"/>
      <c r="Q17" s="250"/>
      <c r="R17" s="245"/>
      <c r="S17" s="250"/>
      <c r="T17" s="245"/>
      <c r="U17" s="246"/>
      <c r="V17" s="249"/>
      <c r="W17" s="250"/>
      <c r="X17" s="245"/>
      <c r="Y17" s="250"/>
      <c r="Z17" s="245"/>
      <c r="AA17" s="246"/>
      <c r="AB17" s="249"/>
      <c r="AC17" s="250"/>
      <c r="AD17" s="245"/>
      <c r="AE17" s="250"/>
      <c r="AF17" s="245"/>
      <c r="AG17" s="246"/>
      <c r="AH17" s="249"/>
      <c r="AI17" s="250"/>
      <c r="AJ17" s="245"/>
      <c r="AK17" s="250"/>
      <c r="AL17" s="245"/>
      <c r="AM17" s="246"/>
      <c r="AN17" s="1"/>
      <c r="AO17" s="271"/>
      <c r="AP17" s="211"/>
      <c r="AQ17" s="211"/>
      <c r="AR17" s="211"/>
      <c r="AS17" s="211"/>
      <c r="AT17" s="272"/>
    </row>
    <row r="18" spans="2:46" ht="15" customHeight="1" x14ac:dyDescent="0.25">
      <c r="B18" s="288"/>
      <c r="C18" s="211"/>
      <c r="D18" s="212"/>
      <c r="E18" s="223"/>
      <c r="F18" s="211"/>
      <c r="G18" s="211"/>
      <c r="H18" s="211"/>
      <c r="I18" s="211"/>
      <c r="J18" s="267" t="e">
        <f>IF(AND('Mapa final'!#REF!="Alta",'Mapa final'!#REF!="Leve"),CONCATENATE("R",'Mapa final'!#REF!),"")</f>
        <v>#REF!</v>
      </c>
      <c r="K18" s="248"/>
      <c r="L18" s="266" t="e">
        <f>IF(AND('Mapa final'!#REF!="Alta",'Mapa final'!#REF!="Leve"),CONCATENATE("R",'Mapa final'!#REF!),"")</f>
        <v>#REF!</v>
      </c>
      <c r="M18" s="248"/>
      <c r="N18" s="266" t="e">
        <f>IF(AND('Mapa final'!#REF!="Alta",'Mapa final'!#REF!="Leve"),CONCATENATE("R",'Mapa final'!#REF!),"")</f>
        <v>#REF!</v>
      </c>
      <c r="O18" s="244"/>
      <c r="P18" s="267" t="e">
        <f>IF(AND('Mapa final'!#REF!="Alta",'Mapa final'!#REF!="Menor"),CONCATENATE("R",'Mapa final'!#REF!),"")</f>
        <v>#REF!</v>
      </c>
      <c r="Q18" s="248"/>
      <c r="R18" s="266" t="e">
        <f>IF(AND('Mapa final'!#REF!="Alta",'Mapa final'!#REF!="Menor"),CONCATENATE("R",'Mapa final'!#REF!),"")</f>
        <v>#REF!</v>
      </c>
      <c r="S18" s="248"/>
      <c r="T18" s="266" t="e">
        <f>IF(AND('Mapa final'!#REF!="Alta",'Mapa final'!#REF!="Menor"),CONCATENATE("R",'Mapa final'!#REF!),"")</f>
        <v>#REF!</v>
      </c>
      <c r="U18" s="244"/>
      <c r="V18" s="255" t="e">
        <f>IF(AND('Mapa final'!#REF!="Alta",'Mapa final'!#REF!="Moderado"),CONCATENATE("R",'Mapa final'!#REF!),"")</f>
        <v>#REF!</v>
      </c>
      <c r="W18" s="248"/>
      <c r="X18" s="243" t="e">
        <f>IF(AND('Mapa final'!#REF!="Alta",'Mapa final'!#REF!="Moderado"),CONCATENATE("R",'Mapa final'!#REF!),"")</f>
        <v>#REF!</v>
      </c>
      <c r="Y18" s="248"/>
      <c r="Z18" s="243" t="e">
        <f>IF(AND('Mapa final'!#REF!="Alta",'Mapa final'!#REF!="Moderado"),CONCATENATE("R",'Mapa final'!#REF!),"")</f>
        <v>#REF!</v>
      </c>
      <c r="AA18" s="244"/>
      <c r="AB18" s="255" t="e">
        <f>IF(AND('Mapa final'!#REF!="Alta",'Mapa final'!#REF!="Mayor"),CONCATENATE("R",'Mapa final'!#REF!),"")</f>
        <v>#REF!</v>
      </c>
      <c r="AC18" s="248"/>
      <c r="AD18" s="243" t="e">
        <f>IF(AND('Mapa final'!#REF!="Alta",'Mapa final'!#REF!="Mayor"),CONCATENATE("R",'Mapa final'!#REF!),"")</f>
        <v>#REF!</v>
      </c>
      <c r="AE18" s="248"/>
      <c r="AF18" s="243" t="e">
        <f>IF(AND('Mapa final'!#REF!="Alta",'Mapa final'!#REF!="Mayor"),CONCATENATE("R",'Mapa final'!#REF!),"")</f>
        <v>#REF!</v>
      </c>
      <c r="AG18" s="244"/>
      <c r="AH18" s="247" t="e">
        <f>IF(AND('Mapa final'!#REF!="Alta",'Mapa final'!#REF!="Catastrófico"),CONCATENATE("R",'Mapa final'!#REF!),"")</f>
        <v>#REF!</v>
      </c>
      <c r="AI18" s="248"/>
      <c r="AJ18" s="251" t="e">
        <f>IF(AND('Mapa final'!#REF!="Alta",'Mapa final'!#REF!="Catastrófico"),CONCATENATE("R",'Mapa final'!#REF!),"")</f>
        <v>#REF!</v>
      </c>
      <c r="AK18" s="248"/>
      <c r="AL18" s="251" t="e">
        <f>IF(AND('Mapa final'!#REF!="Alta",'Mapa final'!#REF!="Catastrófico"),CONCATENATE("R",'Mapa final'!#REF!),"")</f>
        <v>#REF!</v>
      </c>
      <c r="AM18" s="244"/>
      <c r="AN18" s="1"/>
      <c r="AO18" s="271"/>
      <c r="AP18" s="211"/>
      <c r="AQ18" s="211"/>
      <c r="AR18" s="211"/>
      <c r="AS18" s="211"/>
      <c r="AT18" s="272"/>
    </row>
    <row r="19" spans="2:46" ht="15" customHeight="1" x14ac:dyDescent="0.25">
      <c r="B19" s="288"/>
      <c r="C19" s="211"/>
      <c r="D19" s="212"/>
      <c r="E19" s="223"/>
      <c r="F19" s="211"/>
      <c r="G19" s="211"/>
      <c r="H19" s="211"/>
      <c r="I19" s="211"/>
      <c r="J19" s="249"/>
      <c r="K19" s="250"/>
      <c r="L19" s="245"/>
      <c r="M19" s="250"/>
      <c r="N19" s="245"/>
      <c r="O19" s="246"/>
      <c r="P19" s="249"/>
      <c r="Q19" s="250"/>
      <c r="R19" s="245"/>
      <c r="S19" s="250"/>
      <c r="T19" s="245"/>
      <c r="U19" s="246"/>
      <c r="V19" s="249"/>
      <c r="W19" s="250"/>
      <c r="X19" s="245"/>
      <c r="Y19" s="250"/>
      <c r="Z19" s="245"/>
      <c r="AA19" s="246"/>
      <c r="AB19" s="249"/>
      <c r="AC19" s="250"/>
      <c r="AD19" s="245"/>
      <c r="AE19" s="250"/>
      <c r="AF19" s="245"/>
      <c r="AG19" s="246"/>
      <c r="AH19" s="249"/>
      <c r="AI19" s="250"/>
      <c r="AJ19" s="245"/>
      <c r="AK19" s="250"/>
      <c r="AL19" s="245"/>
      <c r="AM19" s="246"/>
      <c r="AN19" s="1"/>
      <c r="AO19" s="271"/>
      <c r="AP19" s="211"/>
      <c r="AQ19" s="211"/>
      <c r="AR19" s="211"/>
      <c r="AS19" s="211"/>
      <c r="AT19" s="272"/>
    </row>
    <row r="20" spans="2:46" ht="15" customHeight="1" x14ac:dyDescent="0.25">
      <c r="B20" s="288"/>
      <c r="C20" s="211"/>
      <c r="D20" s="212"/>
      <c r="E20" s="223"/>
      <c r="F20" s="211"/>
      <c r="G20" s="211"/>
      <c r="H20" s="211"/>
      <c r="I20" s="211"/>
      <c r="J20" s="267" t="e">
        <f>IF(AND('Mapa final'!#REF!="Alta",'Mapa final'!#REF!="Leve"),CONCATENATE("R",'Mapa final'!#REF!),"")</f>
        <v>#REF!</v>
      </c>
      <c r="K20" s="248"/>
      <c r="L20" s="266" t="str">
        <f>IF(AND('Mapa final'!$H$46="Alta",'Mapa final'!$L$46="Leve"),CONCATENATE("R",'Mapa final'!$A$46),"")</f>
        <v/>
      </c>
      <c r="M20" s="248"/>
      <c r="N20" s="266" t="str">
        <f>IF(AND('Mapa final'!$H$52="Alta",'Mapa final'!$L$52="Leve"),CONCATENATE("R",'Mapa final'!$A$52),"")</f>
        <v/>
      </c>
      <c r="O20" s="244"/>
      <c r="P20" s="267" t="e">
        <f>IF(AND('Mapa final'!#REF!="Alta",'Mapa final'!#REF!="Menor"),CONCATENATE("R",'Mapa final'!#REF!),"")</f>
        <v>#REF!</v>
      </c>
      <c r="Q20" s="248"/>
      <c r="R20" s="266" t="str">
        <f>IF(AND('Mapa final'!$H$46="Alta",'Mapa final'!$L$46="Menor"),CONCATENATE("R",'Mapa final'!$A$46),"")</f>
        <v/>
      </c>
      <c r="S20" s="248"/>
      <c r="T20" s="266" t="str">
        <f>IF(AND('Mapa final'!$H$52="Alta",'Mapa final'!$L$52="Menor"),CONCATENATE("R",'Mapa final'!$A$52),"")</f>
        <v/>
      </c>
      <c r="U20" s="244"/>
      <c r="V20" s="255" t="e">
        <f>IF(AND('Mapa final'!#REF!="Alta",'Mapa final'!#REF!="Moderado"),CONCATENATE("R",'Mapa final'!#REF!),"")</f>
        <v>#REF!</v>
      </c>
      <c r="W20" s="248"/>
      <c r="X20" s="243" t="str">
        <f>IF(AND('Mapa final'!$H$46="Alta",'Mapa final'!$L$46="Moderado"),CONCATENATE("R",'Mapa final'!$A$46),"")</f>
        <v/>
      </c>
      <c r="Y20" s="248"/>
      <c r="Z20" s="243" t="str">
        <f>IF(AND('Mapa final'!$H$52="Alta",'Mapa final'!$L$52="Moderado"),CONCATENATE("R",'Mapa final'!$A$52),"")</f>
        <v/>
      </c>
      <c r="AA20" s="244"/>
      <c r="AB20" s="255" t="e">
        <f>IF(AND('Mapa final'!#REF!="Alta",'Mapa final'!#REF!="Mayor"),CONCATENATE("R",'Mapa final'!#REF!),"")</f>
        <v>#REF!</v>
      </c>
      <c r="AC20" s="248"/>
      <c r="AD20" s="243" t="str">
        <f>IF(AND('Mapa final'!$H$46="Alta",'Mapa final'!$L$46="Mayor"),CONCATENATE("R",'Mapa final'!$A$46),"")</f>
        <v/>
      </c>
      <c r="AE20" s="248"/>
      <c r="AF20" s="243" t="str">
        <f>IF(AND('Mapa final'!$H$52="Alta",'Mapa final'!$L$52="Mayor"),CONCATENATE("R",'Mapa final'!$A$52),"")</f>
        <v/>
      </c>
      <c r="AG20" s="244"/>
      <c r="AH20" s="247" t="e">
        <f>IF(AND('Mapa final'!#REF!="Alta",'Mapa final'!#REF!="Catastrófico"),CONCATENATE("R",'Mapa final'!#REF!),"")</f>
        <v>#REF!</v>
      </c>
      <c r="AI20" s="248"/>
      <c r="AJ20" s="251" t="str">
        <f>IF(AND('Mapa final'!$H$46="Alta",'Mapa final'!$L$46="Catastrófico"),CONCATENATE("R",'Mapa final'!$A$46),"")</f>
        <v/>
      </c>
      <c r="AK20" s="248"/>
      <c r="AL20" s="251" t="str">
        <f>IF(AND('Mapa final'!$H$52="Alta",'Mapa final'!$L$52="Catastrófico"),CONCATENATE("R",'Mapa final'!$A$52),"")</f>
        <v/>
      </c>
      <c r="AM20" s="244"/>
      <c r="AN20" s="1"/>
      <c r="AO20" s="271"/>
      <c r="AP20" s="211"/>
      <c r="AQ20" s="211"/>
      <c r="AR20" s="211"/>
      <c r="AS20" s="211"/>
      <c r="AT20" s="272"/>
    </row>
    <row r="21" spans="2:46" ht="15.75" customHeight="1" x14ac:dyDescent="0.25">
      <c r="B21" s="288"/>
      <c r="C21" s="211"/>
      <c r="D21" s="212"/>
      <c r="E21" s="257"/>
      <c r="F21" s="281"/>
      <c r="G21" s="281"/>
      <c r="H21" s="281"/>
      <c r="I21" s="281"/>
      <c r="J21" s="257"/>
      <c r="K21" s="258"/>
      <c r="L21" s="259"/>
      <c r="M21" s="258"/>
      <c r="N21" s="259"/>
      <c r="O21" s="260"/>
      <c r="P21" s="257"/>
      <c r="Q21" s="258"/>
      <c r="R21" s="259"/>
      <c r="S21" s="258"/>
      <c r="T21" s="259"/>
      <c r="U21" s="260"/>
      <c r="V21" s="257"/>
      <c r="W21" s="258"/>
      <c r="X21" s="259"/>
      <c r="Y21" s="258"/>
      <c r="Z21" s="259"/>
      <c r="AA21" s="260"/>
      <c r="AB21" s="257"/>
      <c r="AC21" s="258"/>
      <c r="AD21" s="259"/>
      <c r="AE21" s="258"/>
      <c r="AF21" s="259"/>
      <c r="AG21" s="260"/>
      <c r="AH21" s="257"/>
      <c r="AI21" s="258"/>
      <c r="AJ21" s="259"/>
      <c r="AK21" s="258"/>
      <c r="AL21" s="259"/>
      <c r="AM21" s="260"/>
      <c r="AN21" s="1"/>
      <c r="AO21" s="273"/>
      <c r="AP21" s="274"/>
      <c r="AQ21" s="274"/>
      <c r="AR21" s="274"/>
      <c r="AS21" s="274"/>
      <c r="AT21" s="275"/>
    </row>
    <row r="22" spans="2:46" ht="15.75" customHeight="1" x14ac:dyDescent="0.25">
      <c r="B22" s="288"/>
      <c r="C22" s="211"/>
      <c r="D22" s="212"/>
      <c r="E22" s="279" t="s">
        <v>99</v>
      </c>
      <c r="F22" s="280"/>
      <c r="G22" s="280"/>
      <c r="H22" s="280"/>
      <c r="I22" s="262"/>
      <c r="J22" s="263" t="str">
        <f>IF(AND('Mapa final'!$H$16="Media",'Mapa final'!$L$16="Leve"),CONCATENATE("R",'Mapa final'!$A$16),"")</f>
        <v/>
      </c>
      <c r="K22" s="253"/>
      <c r="L22" s="261" t="str">
        <f>IF(AND('Mapa final'!$H$21="Media",'Mapa final'!$L$21="Leve"),CONCATENATE("R",'Mapa final'!$A$21),"")</f>
        <v/>
      </c>
      <c r="M22" s="253"/>
      <c r="N22" s="261" t="str">
        <f>IF(AND('Mapa final'!$H$26="Media",'Mapa final'!$L$26="Leve"),CONCATENATE("R",'Mapa final'!$A$26),"")</f>
        <v>R3</v>
      </c>
      <c r="O22" s="262"/>
      <c r="P22" s="263" t="str">
        <f>IF(AND('Mapa final'!$H$16="Media",'Mapa final'!$L$16="Menor"),CONCATENATE("R",'Mapa final'!$A$16),"")</f>
        <v/>
      </c>
      <c r="Q22" s="253"/>
      <c r="R22" s="261" t="str">
        <f>IF(AND('Mapa final'!$H$21="Media",'Mapa final'!$L$21="Menor"),CONCATENATE("R",'Mapa final'!$A$21),"")</f>
        <v/>
      </c>
      <c r="S22" s="253"/>
      <c r="T22" s="261" t="str">
        <f>IF(AND('Mapa final'!$H$26="Media",'Mapa final'!$L$26="Menor"),CONCATENATE("R",'Mapa final'!$A$26),"")</f>
        <v/>
      </c>
      <c r="U22" s="262"/>
      <c r="V22" s="263" t="str">
        <f>IF(AND('Mapa final'!$H$16="Media",'Mapa final'!$L$16="Moderado"),CONCATENATE("R",'Mapa final'!$A$16),"")</f>
        <v/>
      </c>
      <c r="W22" s="253"/>
      <c r="X22" s="261" t="str">
        <f>IF(AND('Mapa final'!$H$21="Media",'Mapa final'!$L$21="Moderado"),CONCATENATE("R",'Mapa final'!$A$21),"")</f>
        <v>R2</v>
      </c>
      <c r="Y22" s="253"/>
      <c r="Z22" s="261" t="str">
        <f>IF(AND('Mapa final'!$H$26="Media",'Mapa final'!$L$26="Moderado"),CONCATENATE("R",'Mapa final'!$A$26),"")</f>
        <v/>
      </c>
      <c r="AA22" s="262"/>
      <c r="AB22" s="252" t="str">
        <f>IF(AND('Mapa final'!$H$16="Media",'Mapa final'!$L$16="Mayor"),CONCATENATE("R",'Mapa final'!$A$16),"")</f>
        <v>R1</v>
      </c>
      <c r="AC22" s="253"/>
      <c r="AD22" s="254" t="str">
        <f>IF(AND('Mapa final'!$H$21="Media",'Mapa final'!$L$21="Mayor"),CONCATENATE("R",'Mapa final'!$A$21),"")</f>
        <v/>
      </c>
      <c r="AE22" s="253"/>
      <c r="AF22" s="254" t="str">
        <f>IF(AND('Mapa final'!$H$26="Media",'Mapa final'!$L$26="Mayor"),CONCATENATE("R",'Mapa final'!$A$26),"")</f>
        <v/>
      </c>
      <c r="AG22" s="262"/>
      <c r="AH22" s="264" t="str">
        <f>IF(AND('Mapa final'!$H$16="Media",'Mapa final'!$L$16="Catastrófico"),CONCATENATE("R",'Mapa final'!$A$16),"")</f>
        <v/>
      </c>
      <c r="AI22" s="253"/>
      <c r="AJ22" s="256" t="str">
        <f>IF(AND('Mapa final'!$H$21="Media",'Mapa final'!$L$21="Catastrófico"),CONCATENATE("R",'Mapa final'!$A$21),"")</f>
        <v/>
      </c>
      <c r="AK22" s="253"/>
      <c r="AL22" s="256" t="str">
        <f>IF(AND('Mapa final'!$H$26="Media",'Mapa final'!$L$26="Catastrófico"),CONCATENATE("R",'Mapa final'!$A$26),"")</f>
        <v/>
      </c>
      <c r="AM22" s="262"/>
      <c r="AN22" s="1"/>
      <c r="AO22" s="277" t="s">
        <v>100</v>
      </c>
      <c r="AP22" s="269"/>
      <c r="AQ22" s="269"/>
      <c r="AR22" s="269"/>
      <c r="AS22" s="269"/>
      <c r="AT22" s="270"/>
    </row>
    <row r="23" spans="2:46" ht="15.75" customHeight="1" x14ac:dyDescent="0.25">
      <c r="B23" s="288"/>
      <c r="C23" s="211"/>
      <c r="D23" s="212"/>
      <c r="E23" s="223"/>
      <c r="F23" s="211"/>
      <c r="G23" s="211"/>
      <c r="H23" s="211"/>
      <c r="I23" s="212"/>
      <c r="J23" s="249"/>
      <c r="K23" s="250"/>
      <c r="L23" s="245"/>
      <c r="M23" s="250"/>
      <c r="N23" s="245"/>
      <c r="O23" s="246"/>
      <c r="P23" s="249"/>
      <c r="Q23" s="250"/>
      <c r="R23" s="245"/>
      <c r="S23" s="250"/>
      <c r="T23" s="245"/>
      <c r="U23" s="246"/>
      <c r="V23" s="249"/>
      <c r="W23" s="250"/>
      <c r="X23" s="245"/>
      <c r="Y23" s="250"/>
      <c r="Z23" s="245"/>
      <c r="AA23" s="246"/>
      <c r="AB23" s="249"/>
      <c r="AC23" s="250"/>
      <c r="AD23" s="245"/>
      <c r="AE23" s="250"/>
      <c r="AF23" s="245"/>
      <c r="AG23" s="246"/>
      <c r="AH23" s="249"/>
      <c r="AI23" s="250"/>
      <c r="AJ23" s="245"/>
      <c r="AK23" s="250"/>
      <c r="AL23" s="245"/>
      <c r="AM23" s="246"/>
      <c r="AN23" s="1"/>
      <c r="AO23" s="271"/>
      <c r="AP23" s="211"/>
      <c r="AQ23" s="211"/>
      <c r="AR23" s="211"/>
      <c r="AS23" s="211"/>
      <c r="AT23" s="272"/>
    </row>
    <row r="24" spans="2:46" ht="15.75" customHeight="1" x14ac:dyDescent="0.25">
      <c r="B24" s="288"/>
      <c r="C24" s="211"/>
      <c r="D24" s="212"/>
      <c r="E24" s="223"/>
      <c r="F24" s="211"/>
      <c r="G24" s="211"/>
      <c r="H24" s="211"/>
      <c r="I24" s="212"/>
      <c r="J24" s="267" t="str">
        <f>IF(AND('Mapa final'!$H$31="Media",'Mapa final'!$L$31="Leve"),CONCATENATE("R",'Mapa final'!$A$31),"")</f>
        <v/>
      </c>
      <c r="K24" s="248"/>
      <c r="L24" s="266" t="str">
        <f>IF(AND('Mapa final'!$H$36="Media",'Mapa final'!$L$36="Leve"),CONCATENATE("R",'Mapa final'!$A$36),"")</f>
        <v/>
      </c>
      <c r="M24" s="248"/>
      <c r="N24" s="266" t="str">
        <f>IF(AND('Mapa final'!$H$41="Media",'Mapa final'!$L$41="Leve"),CONCATENATE("R",'Mapa final'!$A$41),"")</f>
        <v/>
      </c>
      <c r="O24" s="244"/>
      <c r="P24" s="267" t="str">
        <f>IF(AND('Mapa final'!$H$31="Media",'Mapa final'!$L$31="Menor"),CONCATENATE("R",'Mapa final'!$A$31),"")</f>
        <v/>
      </c>
      <c r="Q24" s="248"/>
      <c r="R24" s="266" t="str">
        <f>IF(AND('Mapa final'!$H$36="Media",'Mapa final'!$L$36="Menor"),CONCATENATE("R",'Mapa final'!$A$36),"")</f>
        <v/>
      </c>
      <c r="S24" s="248"/>
      <c r="T24" s="266" t="str">
        <f>IF(AND('Mapa final'!$H$41="Media",'Mapa final'!$L$41="Menor"),CONCATENATE("R",'Mapa final'!$A$41),"")</f>
        <v/>
      </c>
      <c r="U24" s="244"/>
      <c r="V24" s="267" t="str">
        <f>IF(AND('Mapa final'!$H$31="Media",'Mapa final'!$L$31="Moderado"),CONCATENATE("R",'Mapa final'!$A$31),"")</f>
        <v/>
      </c>
      <c r="W24" s="248"/>
      <c r="X24" s="266" t="str">
        <f>IF(AND('Mapa final'!$H$36="Media",'Mapa final'!$L$36="Moderado"),CONCATENATE("R",'Mapa final'!$A$36),"")</f>
        <v/>
      </c>
      <c r="Y24" s="248"/>
      <c r="Z24" s="266" t="str">
        <f>IF(AND('Mapa final'!$H$41="Media",'Mapa final'!$L$41="Moderado"),CONCATENATE("R",'Mapa final'!$A$41),"")</f>
        <v/>
      </c>
      <c r="AA24" s="244"/>
      <c r="AB24" s="255" t="str">
        <f>IF(AND('Mapa final'!$H$31="Media",'Mapa final'!$L$31="Mayor"),CONCATENATE("R",'Mapa final'!$A$31),"")</f>
        <v/>
      </c>
      <c r="AC24" s="248"/>
      <c r="AD24" s="243" t="str">
        <f>IF(AND('Mapa final'!$H$36="Media",'Mapa final'!$L$36="Mayor"),CONCATENATE("R",'Mapa final'!$A$36),"")</f>
        <v/>
      </c>
      <c r="AE24" s="248"/>
      <c r="AF24" s="243" t="str">
        <f>IF(AND('Mapa final'!$H$41="Media",'Mapa final'!$L$41="Mayor"),CONCATENATE("R",'Mapa final'!$A$41),"")</f>
        <v/>
      </c>
      <c r="AG24" s="244"/>
      <c r="AH24" s="247" t="str">
        <f>IF(AND('Mapa final'!$H$31="Media",'Mapa final'!$L$31="Catastrófico"),CONCATENATE("R",'Mapa final'!$A$31),"")</f>
        <v/>
      </c>
      <c r="AI24" s="248"/>
      <c r="AJ24" s="251" t="str">
        <f>IF(AND('Mapa final'!$H$36="Media",'Mapa final'!$L$36="Catastrófico"),CONCATENATE("R",'Mapa final'!$A$36),"")</f>
        <v/>
      </c>
      <c r="AK24" s="248"/>
      <c r="AL24" s="251" t="str">
        <f>IF(AND('Mapa final'!$H$41="Media",'Mapa final'!$L$41="Catastrófico"),CONCATENATE("R",'Mapa final'!$A$41),"")</f>
        <v/>
      </c>
      <c r="AM24" s="244"/>
      <c r="AN24" s="1"/>
      <c r="AO24" s="271"/>
      <c r="AP24" s="211"/>
      <c r="AQ24" s="211"/>
      <c r="AR24" s="211"/>
      <c r="AS24" s="211"/>
      <c r="AT24" s="272"/>
    </row>
    <row r="25" spans="2:46" ht="15.75" customHeight="1" x14ac:dyDescent="0.25">
      <c r="B25" s="288"/>
      <c r="C25" s="211"/>
      <c r="D25" s="212"/>
      <c r="E25" s="223"/>
      <c r="F25" s="211"/>
      <c r="G25" s="211"/>
      <c r="H25" s="211"/>
      <c r="I25" s="212"/>
      <c r="J25" s="249"/>
      <c r="K25" s="250"/>
      <c r="L25" s="245"/>
      <c r="M25" s="250"/>
      <c r="N25" s="245"/>
      <c r="O25" s="246"/>
      <c r="P25" s="249"/>
      <c r="Q25" s="250"/>
      <c r="R25" s="245"/>
      <c r="S25" s="250"/>
      <c r="T25" s="245"/>
      <c r="U25" s="246"/>
      <c r="V25" s="249"/>
      <c r="W25" s="250"/>
      <c r="X25" s="245"/>
      <c r="Y25" s="250"/>
      <c r="Z25" s="245"/>
      <c r="AA25" s="246"/>
      <c r="AB25" s="249"/>
      <c r="AC25" s="250"/>
      <c r="AD25" s="245"/>
      <c r="AE25" s="250"/>
      <c r="AF25" s="245"/>
      <c r="AG25" s="246"/>
      <c r="AH25" s="249"/>
      <c r="AI25" s="250"/>
      <c r="AJ25" s="245"/>
      <c r="AK25" s="250"/>
      <c r="AL25" s="245"/>
      <c r="AM25" s="246"/>
      <c r="AN25" s="1"/>
      <c r="AO25" s="271"/>
      <c r="AP25" s="211"/>
      <c r="AQ25" s="211"/>
      <c r="AR25" s="211"/>
      <c r="AS25" s="211"/>
      <c r="AT25" s="272"/>
    </row>
    <row r="26" spans="2:46" ht="15.75" customHeight="1" x14ac:dyDescent="0.25">
      <c r="B26" s="288"/>
      <c r="C26" s="211"/>
      <c r="D26" s="212"/>
      <c r="E26" s="223"/>
      <c r="F26" s="211"/>
      <c r="G26" s="211"/>
      <c r="H26" s="211"/>
      <c r="I26" s="212"/>
      <c r="J26" s="267" t="e">
        <f>IF(AND('Mapa final'!#REF!="Media",'Mapa final'!#REF!="Leve"),CONCATENATE("R",'Mapa final'!#REF!),"")</f>
        <v>#REF!</v>
      </c>
      <c r="K26" s="248"/>
      <c r="L26" s="266" t="e">
        <f>IF(AND('Mapa final'!#REF!="Media",'Mapa final'!#REF!="Leve"),CONCATENATE("R",'Mapa final'!#REF!),"")</f>
        <v>#REF!</v>
      </c>
      <c r="M26" s="248"/>
      <c r="N26" s="266" t="e">
        <f>IF(AND('Mapa final'!#REF!="Media",'Mapa final'!#REF!="Leve"),CONCATENATE("R",'Mapa final'!#REF!),"")</f>
        <v>#REF!</v>
      </c>
      <c r="O26" s="244"/>
      <c r="P26" s="267" t="e">
        <f>IF(AND('Mapa final'!#REF!="Media",'Mapa final'!#REF!="Menor"),CONCATENATE("R",'Mapa final'!#REF!),"")</f>
        <v>#REF!</v>
      </c>
      <c r="Q26" s="248"/>
      <c r="R26" s="266" t="e">
        <f>IF(AND('Mapa final'!#REF!="Media",'Mapa final'!#REF!="Menor"),CONCATENATE("R",'Mapa final'!#REF!),"")</f>
        <v>#REF!</v>
      </c>
      <c r="S26" s="248"/>
      <c r="T26" s="266" t="e">
        <f>IF(AND('Mapa final'!#REF!="Media",'Mapa final'!#REF!="Menor"),CONCATENATE("R",'Mapa final'!#REF!),"")</f>
        <v>#REF!</v>
      </c>
      <c r="U26" s="244"/>
      <c r="V26" s="267" t="e">
        <f>IF(AND('Mapa final'!#REF!="Media",'Mapa final'!#REF!="Moderado"),CONCATENATE("R",'Mapa final'!#REF!),"")</f>
        <v>#REF!</v>
      </c>
      <c r="W26" s="248"/>
      <c r="X26" s="266" t="e">
        <f>IF(AND('Mapa final'!#REF!="Media",'Mapa final'!#REF!="Moderado"),CONCATENATE("R",'Mapa final'!#REF!),"")</f>
        <v>#REF!</v>
      </c>
      <c r="Y26" s="248"/>
      <c r="Z26" s="266" t="e">
        <f>IF(AND('Mapa final'!#REF!="Media",'Mapa final'!#REF!="Moderado"),CONCATENATE("R",'Mapa final'!#REF!),"")</f>
        <v>#REF!</v>
      </c>
      <c r="AA26" s="244"/>
      <c r="AB26" s="255" t="e">
        <f>IF(AND('Mapa final'!#REF!="Media",'Mapa final'!#REF!="Mayor"),CONCATENATE("R",'Mapa final'!#REF!),"")</f>
        <v>#REF!</v>
      </c>
      <c r="AC26" s="248"/>
      <c r="AD26" s="243" t="e">
        <f>IF(AND('Mapa final'!#REF!="Media",'Mapa final'!#REF!="Mayor"),CONCATENATE("R",'Mapa final'!#REF!),"")</f>
        <v>#REF!</v>
      </c>
      <c r="AE26" s="248"/>
      <c r="AF26" s="243" t="e">
        <f>IF(AND('Mapa final'!#REF!="Media",'Mapa final'!#REF!="Mayor"),CONCATENATE("R",'Mapa final'!#REF!),"")</f>
        <v>#REF!</v>
      </c>
      <c r="AG26" s="244"/>
      <c r="AH26" s="247" t="e">
        <f>IF(AND('Mapa final'!#REF!="Media",'Mapa final'!#REF!="Catastrófico"),CONCATENATE("R",'Mapa final'!#REF!),"")</f>
        <v>#REF!</v>
      </c>
      <c r="AI26" s="248"/>
      <c r="AJ26" s="251" t="e">
        <f>IF(AND('Mapa final'!#REF!="Media",'Mapa final'!#REF!="Catastrófico"),CONCATENATE("R",'Mapa final'!#REF!),"")</f>
        <v>#REF!</v>
      </c>
      <c r="AK26" s="248"/>
      <c r="AL26" s="251" t="e">
        <f>IF(AND('Mapa final'!#REF!="Media",'Mapa final'!#REF!="Catastrófico"),CONCATENATE("R",'Mapa final'!#REF!),"")</f>
        <v>#REF!</v>
      </c>
      <c r="AM26" s="244"/>
      <c r="AN26" s="1"/>
      <c r="AO26" s="271"/>
      <c r="AP26" s="211"/>
      <c r="AQ26" s="211"/>
      <c r="AR26" s="211"/>
      <c r="AS26" s="211"/>
      <c r="AT26" s="272"/>
    </row>
    <row r="27" spans="2:46" ht="15.75" customHeight="1" x14ac:dyDescent="0.25">
      <c r="B27" s="288"/>
      <c r="C27" s="211"/>
      <c r="D27" s="212"/>
      <c r="E27" s="223"/>
      <c r="F27" s="211"/>
      <c r="G27" s="211"/>
      <c r="H27" s="211"/>
      <c r="I27" s="212"/>
      <c r="J27" s="249"/>
      <c r="K27" s="250"/>
      <c r="L27" s="245"/>
      <c r="M27" s="250"/>
      <c r="N27" s="245"/>
      <c r="O27" s="246"/>
      <c r="P27" s="249"/>
      <c r="Q27" s="250"/>
      <c r="R27" s="245"/>
      <c r="S27" s="250"/>
      <c r="T27" s="245"/>
      <c r="U27" s="246"/>
      <c r="V27" s="249"/>
      <c r="W27" s="250"/>
      <c r="X27" s="245"/>
      <c r="Y27" s="250"/>
      <c r="Z27" s="245"/>
      <c r="AA27" s="246"/>
      <c r="AB27" s="249"/>
      <c r="AC27" s="250"/>
      <c r="AD27" s="245"/>
      <c r="AE27" s="250"/>
      <c r="AF27" s="245"/>
      <c r="AG27" s="246"/>
      <c r="AH27" s="249"/>
      <c r="AI27" s="250"/>
      <c r="AJ27" s="245"/>
      <c r="AK27" s="250"/>
      <c r="AL27" s="245"/>
      <c r="AM27" s="246"/>
      <c r="AN27" s="1"/>
      <c r="AO27" s="271"/>
      <c r="AP27" s="211"/>
      <c r="AQ27" s="211"/>
      <c r="AR27" s="211"/>
      <c r="AS27" s="211"/>
      <c r="AT27" s="272"/>
    </row>
    <row r="28" spans="2:46" ht="15.75" customHeight="1" x14ac:dyDescent="0.25">
      <c r="B28" s="288"/>
      <c r="C28" s="211"/>
      <c r="D28" s="212"/>
      <c r="E28" s="223"/>
      <c r="F28" s="211"/>
      <c r="G28" s="211"/>
      <c r="H28" s="211"/>
      <c r="I28" s="212"/>
      <c r="J28" s="267" t="e">
        <f>IF(AND('Mapa final'!#REF!="Media",'Mapa final'!#REF!="Leve"),CONCATENATE("R",'Mapa final'!#REF!),"")</f>
        <v>#REF!</v>
      </c>
      <c r="K28" s="248"/>
      <c r="L28" s="266" t="str">
        <f>IF(AND('Mapa final'!$H$46="Media",'Mapa final'!$L$46="Leve"),CONCATENATE("R",'Mapa final'!$A$46),"")</f>
        <v/>
      </c>
      <c r="M28" s="248"/>
      <c r="N28" s="266" t="str">
        <f>IF(AND('Mapa final'!$H$52="Media",'Mapa final'!$L$52="Leve"),CONCATENATE("R",'Mapa final'!$A$52),"")</f>
        <v/>
      </c>
      <c r="O28" s="244"/>
      <c r="P28" s="267" t="e">
        <f>IF(AND('Mapa final'!#REF!="Media",'Mapa final'!#REF!="Menor"),CONCATENATE("R",'Mapa final'!#REF!),"")</f>
        <v>#REF!</v>
      </c>
      <c r="Q28" s="248"/>
      <c r="R28" s="266" t="str">
        <f>IF(AND('Mapa final'!$H$46="Media",'Mapa final'!$L$46="Menor"),CONCATENATE("R",'Mapa final'!$A$46),"")</f>
        <v/>
      </c>
      <c r="S28" s="248"/>
      <c r="T28" s="266" t="str">
        <f>IF(AND('Mapa final'!$H$52="Media",'Mapa final'!$L$52="Menor"),CONCATENATE("R",'Mapa final'!$A$52),"")</f>
        <v/>
      </c>
      <c r="U28" s="244"/>
      <c r="V28" s="267" t="e">
        <f>IF(AND('Mapa final'!#REF!="Media",'Mapa final'!#REF!="Moderado"),CONCATENATE("R",'Mapa final'!#REF!),"")</f>
        <v>#REF!</v>
      </c>
      <c r="W28" s="248"/>
      <c r="X28" s="266" t="str">
        <f>IF(AND('Mapa final'!$H$46="Media",'Mapa final'!$L$46="Moderado"),CONCATENATE("R",'Mapa final'!$A$46),"")</f>
        <v/>
      </c>
      <c r="Y28" s="248"/>
      <c r="Z28" s="266" t="str">
        <f>IF(AND('Mapa final'!$H$52="Media",'Mapa final'!$L$52="Moderado"),CONCATENATE("R",'Mapa final'!$A$52),"")</f>
        <v/>
      </c>
      <c r="AA28" s="244"/>
      <c r="AB28" s="255" t="e">
        <f>IF(AND('Mapa final'!#REF!="Media",'Mapa final'!#REF!="Mayor"),CONCATENATE("R",'Mapa final'!#REF!),"")</f>
        <v>#REF!</v>
      </c>
      <c r="AC28" s="248"/>
      <c r="AD28" s="243" t="str">
        <f>IF(AND('Mapa final'!$H$46="Media",'Mapa final'!$L$46="Mayor"),CONCATENATE("R",'Mapa final'!$A$46),"")</f>
        <v/>
      </c>
      <c r="AE28" s="248"/>
      <c r="AF28" s="243" t="str">
        <f>IF(AND('Mapa final'!$H$52="Media",'Mapa final'!$L$52="Mayor"),CONCATENATE("R",'Mapa final'!$A$52),"")</f>
        <v/>
      </c>
      <c r="AG28" s="244"/>
      <c r="AH28" s="247" t="e">
        <f>IF(AND('Mapa final'!#REF!="Media",'Mapa final'!#REF!="Catastrófico"),CONCATENATE("R",'Mapa final'!#REF!),"")</f>
        <v>#REF!</v>
      </c>
      <c r="AI28" s="248"/>
      <c r="AJ28" s="251" t="str">
        <f>IF(AND('Mapa final'!$H$46="Media",'Mapa final'!$L$46="Catastrófico"),CONCATENATE("R",'Mapa final'!$A$46),"")</f>
        <v/>
      </c>
      <c r="AK28" s="248"/>
      <c r="AL28" s="251" t="str">
        <f>IF(AND('Mapa final'!$H$52="Media",'Mapa final'!$L$52="Catastrófico"),CONCATENATE("R",'Mapa final'!$A$52),"")</f>
        <v/>
      </c>
      <c r="AM28" s="244"/>
      <c r="AN28" s="1"/>
      <c r="AO28" s="271"/>
      <c r="AP28" s="211"/>
      <c r="AQ28" s="211"/>
      <c r="AR28" s="211"/>
      <c r="AS28" s="211"/>
      <c r="AT28" s="272"/>
    </row>
    <row r="29" spans="2:46" ht="15.75" customHeight="1" x14ac:dyDescent="0.25">
      <c r="B29" s="288"/>
      <c r="C29" s="211"/>
      <c r="D29" s="212"/>
      <c r="E29" s="257"/>
      <c r="F29" s="281"/>
      <c r="G29" s="281"/>
      <c r="H29" s="281"/>
      <c r="I29" s="260"/>
      <c r="J29" s="249"/>
      <c r="K29" s="250"/>
      <c r="L29" s="245"/>
      <c r="M29" s="250"/>
      <c r="N29" s="245"/>
      <c r="O29" s="246"/>
      <c r="P29" s="257"/>
      <c r="Q29" s="258"/>
      <c r="R29" s="259"/>
      <c r="S29" s="258"/>
      <c r="T29" s="259"/>
      <c r="U29" s="260"/>
      <c r="V29" s="257"/>
      <c r="W29" s="258"/>
      <c r="X29" s="259"/>
      <c r="Y29" s="258"/>
      <c r="Z29" s="259"/>
      <c r="AA29" s="260"/>
      <c r="AB29" s="257"/>
      <c r="AC29" s="258"/>
      <c r="AD29" s="259"/>
      <c r="AE29" s="258"/>
      <c r="AF29" s="259"/>
      <c r="AG29" s="260"/>
      <c r="AH29" s="257"/>
      <c r="AI29" s="258"/>
      <c r="AJ29" s="259"/>
      <c r="AK29" s="258"/>
      <c r="AL29" s="259"/>
      <c r="AM29" s="260"/>
      <c r="AN29" s="1"/>
      <c r="AO29" s="273"/>
      <c r="AP29" s="274"/>
      <c r="AQ29" s="274"/>
      <c r="AR29" s="274"/>
      <c r="AS29" s="274"/>
      <c r="AT29" s="275"/>
    </row>
    <row r="30" spans="2:46" ht="15.75" customHeight="1" x14ac:dyDescent="0.25">
      <c r="B30" s="288"/>
      <c r="C30" s="211"/>
      <c r="D30" s="212"/>
      <c r="E30" s="279" t="s">
        <v>101</v>
      </c>
      <c r="F30" s="280"/>
      <c r="G30" s="280"/>
      <c r="H30" s="280"/>
      <c r="I30" s="280"/>
      <c r="J30" s="282" t="str">
        <f>IF(AND('Mapa final'!$H$16="Baja",'Mapa final'!$L$16="Leve"),CONCATENATE("R",'Mapa final'!$A$16),"")</f>
        <v/>
      </c>
      <c r="K30" s="253"/>
      <c r="L30" s="284" t="str">
        <f>IF(AND('Mapa final'!$H$21="Baja",'Mapa final'!$L$21="Leve"),CONCATENATE("R",'Mapa final'!$A$21),"")</f>
        <v/>
      </c>
      <c r="M30" s="253"/>
      <c r="N30" s="284" t="str">
        <f>IF(AND('Mapa final'!$H$26="Baja",'Mapa final'!$L$26="Leve"),CONCATENATE("R",'Mapa final'!$A$26),"")</f>
        <v/>
      </c>
      <c r="O30" s="262"/>
      <c r="P30" s="261" t="str">
        <f>IF(AND('Mapa final'!$H$16="Baja",'Mapa final'!$L$16="Menor"),CONCATENATE("R",'Mapa final'!$A$16),"")</f>
        <v/>
      </c>
      <c r="Q30" s="253"/>
      <c r="R30" s="261" t="str">
        <f>IF(AND('Mapa final'!$H$21="Baja",'Mapa final'!$L$21="Menor"),CONCATENATE("R",'Mapa final'!$A$21),"")</f>
        <v/>
      </c>
      <c r="S30" s="253"/>
      <c r="T30" s="261" t="str">
        <f>IF(AND('Mapa final'!$H$26="Baja",'Mapa final'!$L$26="Menor"),CONCATENATE("R",'Mapa final'!$A$26),"")</f>
        <v/>
      </c>
      <c r="U30" s="262"/>
      <c r="V30" s="263" t="str">
        <f>IF(AND('Mapa final'!$H$16="Baja",'Mapa final'!$L$16="Moderado"),CONCATENATE("R",'Mapa final'!$A$16),"")</f>
        <v/>
      </c>
      <c r="W30" s="253"/>
      <c r="X30" s="261" t="str">
        <f>IF(AND('Mapa final'!$H$21="Baja",'Mapa final'!$L$21="Moderado"),CONCATENATE("R",'Mapa final'!$A$21),"")</f>
        <v/>
      </c>
      <c r="Y30" s="253"/>
      <c r="Z30" s="261" t="str">
        <f>IF(AND('Mapa final'!$H$26="Baja",'Mapa final'!$L$26="Moderado"),CONCATENATE("R",'Mapa final'!$A$26),"")</f>
        <v/>
      </c>
      <c r="AA30" s="262"/>
      <c r="AB30" s="252" t="str">
        <f>IF(AND('Mapa final'!$H$16="Baja",'Mapa final'!$L$16="Mayor"),CONCATENATE("R",'Mapa final'!$A$16),"")</f>
        <v/>
      </c>
      <c r="AC30" s="253"/>
      <c r="AD30" s="254" t="str">
        <f>IF(AND('Mapa final'!$H$21="Baja",'Mapa final'!$L$21="Mayor"),CONCATENATE("R",'Mapa final'!$A$21),"")</f>
        <v/>
      </c>
      <c r="AE30" s="253"/>
      <c r="AF30" s="254" t="str">
        <f>IF(AND('Mapa final'!$H$26="Baja",'Mapa final'!$L$26="Mayor"),CONCATENATE("R",'Mapa final'!$A$26),"")</f>
        <v/>
      </c>
      <c r="AG30" s="262"/>
      <c r="AH30" s="264" t="str">
        <f>IF(AND('Mapa final'!$H$16="Baja",'Mapa final'!$L$16="Catastrófico"),CONCATENATE("R",'Mapa final'!$A$16),"")</f>
        <v/>
      </c>
      <c r="AI30" s="253"/>
      <c r="AJ30" s="256" t="str">
        <f>IF(AND('Mapa final'!$H$21="Baja",'Mapa final'!$L$21="Catastrófico"),CONCATENATE("R",'Mapa final'!$A$21),"")</f>
        <v/>
      </c>
      <c r="AK30" s="253"/>
      <c r="AL30" s="256" t="str">
        <f>IF(AND('Mapa final'!$H$26="Baja",'Mapa final'!$L$26="Catastrófico"),CONCATENATE("R",'Mapa final'!$A$26),"")</f>
        <v/>
      </c>
      <c r="AM30" s="262"/>
      <c r="AN30" s="1"/>
      <c r="AO30" s="268" t="s">
        <v>102</v>
      </c>
      <c r="AP30" s="269"/>
      <c r="AQ30" s="269"/>
      <c r="AR30" s="269"/>
      <c r="AS30" s="269"/>
      <c r="AT30" s="270"/>
    </row>
    <row r="31" spans="2:46" ht="15.75" customHeight="1" x14ac:dyDescent="0.25">
      <c r="B31" s="288"/>
      <c r="C31" s="211"/>
      <c r="D31" s="212"/>
      <c r="E31" s="223"/>
      <c r="F31" s="211"/>
      <c r="G31" s="211"/>
      <c r="H31" s="211"/>
      <c r="I31" s="211"/>
      <c r="J31" s="249"/>
      <c r="K31" s="250"/>
      <c r="L31" s="245"/>
      <c r="M31" s="250"/>
      <c r="N31" s="245"/>
      <c r="O31" s="246"/>
      <c r="P31" s="245"/>
      <c r="Q31" s="250"/>
      <c r="R31" s="245"/>
      <c r="S31" s="250"/>
      <c r="T31" s="245"/>
      <c r="U31" s="246"/>
      <c r="V31" s="249"/>
      <c r="W31" s="250"/>
      <c r="X31" s="245"/>
      <c r="Y31" s="250"/>
      <c r="Z31" s="245"/>
      <c r="AA31" s="246"/>
      <c r="AB31" s="249"/>
      <c r="AC31" s="250"/>
      <c r="AD31" s="245"/>
      <c r="AE31" s="250"/>
      <c r="AF31" s="245"/>
      <c r="AG31" s="246"/>
      <c r="AH31" s="249"/>
      <c r="AI31" s="250"/>
      <c r="AJ31" s="245"/>
      <c r="AK31" s="250"/>
      <c r="AL31" s="245"/>
      <c r="AM31" s="246"/>
      <c r="AN31" s="1"/>
      <c r="AO31" s="271"/>
      <c r="AP31" s="211"/>
      <c r="AQ31" s="211"/>
      <c r="AR31" s="211"/>
      <c r="AS31" s="211"/>
      <c r="AT31" s="272"/>
    </row>
    <row r="32" spans="2:46" ht="15.75" customHeight="1" x14ac:dyDescent="0.25">
      <c r="B32" s="288"/>
      <c r="C32" s="211"/>
      <c r="D32" s="212"/>
      <c r="E32" s="223"/>
      <c r="F32" s="211"/>
      <c r="G32" s="211"/>
      <c r="H32" s="211"/>
      <c r="I32" s="211"/>
      <c r="J32" s="283" t="str">
        <f>IF(AND('Mapa final'!$H$31="Baja",'Mapa final'!$L$31="Leve"),CONCATENATE("R",'Mapa final'!$A$31),"")</f>
        <v/>
      </c>
      <c r="K32" s="248"/>
      <c r="L32" s="265" t="str">
        <f>IF(AND('Mapa final'!$H$36="Baja",'Mapa final'!$L$36="Leve"),CONCATENATE("R",'Mapa final'!$A$36),"")</f>
        <v/>
      </c>
      <c r="M32" s="248"/>
      <c r="N32" s="265" t="str">
        <f>IF(AND('Mapa final'!$H$41="Baja",'Mapa final'!$L$41="Leve"),CONCATENATE("R",'Mapa final'!$A$41),"")</f>
        <v/>
      </c>
      <c r="O32" s="244"/>
      <c r="P32" s="266" t="str">
        <f>IF(AND('Mapa final'!$H$31="Baja",'Mapa final'!$L$31="Menor"),CONCATENATE("R",'Mapa final'!$A$31),"")</f>
        <v/>
      </c>
      <c r="Q32" s="248"/>
      <c r="R32" s="266" t="str">
        <f>IF(AND('Mapa final'!$H$36="Baja",'Mapa final'!$L$36="Menor"),CONCATENATE("R",'Mapa final'!$A$36),"")</f>
        <v/>
      </c>
      <c r="S32" s="248"/>
      <c r="T32" s="266" t="str">
        <f>IF(AND('Mapa final'!$H$41="Baja",'Mapa final'!$L$41="Menor"),CONCATENATE("R",'Mapa final'!$A$41),"")</f>
        <v/>
      </c>
      <c r="U32" s="244"/>
      <c r="V32" s="267" t="str">
        <f>IF(AND('Mapa final'!$H$31="Baja",'Mapa final'!$L$31="Moderado"),CONCATENATE("R",'Mapa final'!$A$31),"")</f>
        <v/>
      </c>
      <c r="W32" s="248"/>
      <c r="X32" s="266" t="str">
        <f>IF(AND('Mapa final'!$H$36="Baja",'Mapa final'!$L$36="Moderado"),CONCATENATE("R",'Mapa final'!$A$36),"")</f>
        <v/>
      </c>
      <c r="Y32" s="248"/>
      <c r="Z32" s="266" t="str">
        <f>IF(AND('Mapa final'!$H$41="Baja",'Mapa final'!$L$41="Moderado"),CONCATENATE("R",'Mapa final'!$A$41),"")</f>
        <v/>
      </c>
      <c r="AA32" s="244"/>
      <c r="AB32" s="255" t="str">
        <f>IF(AND('Mapa final'!$H$31="Baja",'Mapa final'!$L$31="Mayor"),CONCATENATE("R",'Mapa final'!$A$31),"")</f>
        <v/>
      </c>
      <c r="AC32" s="248"/>
      <c r="AD32" s="243" t="str">
        <f>IF(AND('Mapa final'!$H$36="Baja",'Mapa final'!$L$36="Mayor"),CONCATENATE("R",'Mapa final'!$A$36),"")</f>
        <v/>
      </c>
      <c r="AE32" s="248"/>
      <c r="AF32" s="243" t="str">
        <f>IF(AND('Mapa final'!$H$41="Baja",'Mapa final'!$L$41="Mayor"),CONCATENATE("R",'Mapa final'!$A$41),"")</f>
        <v/>
      </c>
      <c r="AG32" s="244"/>
      <c r="AH32" s="247" t="str">
        <f>IF(AND('Mapa final'!$H$31="Baja",'Mapa final'!$L$31="Catastrófico"),CONCATENATE("R",'Mapa final'!$A$31),"")</f>
        <v/>
      </c>
      <c r="AI32" s="248"/>
      <c r="AJ32" s="251" t="str">
        <f>IF(AND('Mapa final'!$H$36="Baja",'Mapa final'!$L$36="Catastrófico"),CONCATENATE("R",'Mapa final'!$A$36),"")</f>
        <v/>
      </c>
      <c r="AK32" s="248"/>
      <c r="AL32" s="251" t="str">
        <f>IF(AND('Mapa final'!$H$41="Baja",'Mapa final'!$L$41="Catastrófico"),CONCATENATE("R",'Mapa final'!$A$41),"")</f>
        <v/>
      </c>
      <c r="AM32" s="244"/>
      <c r="AN32" s="1"/>
      <c r="AO32" s="271"/>
      <c r="AP32" s="211"/>
      <c r="AQ32" s="211"/>
      <c r="AR32" s="211"/>
      <c r="AS32" s="211"/>
      <c r="AT32" s="272"/>
    </row>
    <row r="33" spans="2:46" ht="15.75" customHeight="1" x14ac:dyDescent="0.25">
      <c r="B33" s="288"/>
      <c r="C33" s="211"/>
      <c r="D33" s="212"/>
      <c r="E33" s="223"/>
      <c r="F33" s="211"/>
      <c r="G33" s="211"/>
      <c r="H33" s="211"/>
      <c r="I33" s="211"/>
      <c r="J33" s="249"/>
      <c r="K33" s="250"/>
      <c r="L33" s="245"/>
      <c r="M33" s="250"/>
      <c r="N33" s="245"/>
      <c r="O33" s="246"/>
      <c r="P33" s="245"/>
      <c r="Q33" s="250"/>
      <c r="R33" s="245"/>
      <c r="S33" s="250"/>
      <c r="T33" s="245"/>
      <c r="U33" s="246"/>
      <c r="V33" s="249"/>
      <c r="W33" s="250"/>
      <c r="X33" s="245"/>
      <c r="Y33" s="250"/>
      <c r="Z33" s="245"/>
      <c r="AA33" s="246"/>
      <c r="AB33" s="249"/>
      <c r="AC33" s="250"/>
      <c r="AD33" s="245"/>
      <c r="AE33" s="250"/>
      <c r="AF33" s="245"/>
      <c r="AG33" s="246"/>
      <c r="AH33" s="249"/>
      <c r="AI33" s="250"/>
      <c r="AJ33" s="245"/>
      <c r="AK33" s="250"/>
      <c r="AL33" s="245"/>
      <c r="AM33" s="246"/>
      <c r="AN33" s="1"/>
      <c r="AO33" s="271"/>
      <c r="AP33" s="211"/>
      <c r="AQ33" s="211"/>
      <c r="AR33" s="211"/>
      <c r="AS33" s="211"/>
      <c r="AT33" s="272"/>
    </row>
    <row r="34" spans="2:46" ht="15.75" customHeight="1" x14ac:dyDescent="0.25">
      <c r="B34" s="288"/>
      <c r="C34" s="211"/>
      <c r="D34" s="212"/>
      <c r="E34" s="223"/>
      <c r="F34" s="211"/>
      <c r="G34" s="211"/>
      <c r="H34" s="211"/>
      <c r="I34" s="211"/>
      <c r="J34" s="283" t="e">
        <f>IF(AND('Mapa final'!#REF!="Baja",'Mapa final'!#REF!="Leve"),CONCATENATE("R",'Mapa final'!#REF!),"")</f>
        <v>#REF!</v>
      </c>
      <c r="K34" s="248"/>
      <c r="L34" s="265" t="e">
        <f>IF(AND('Mapa final'!#REF!="Baja",'Mapa final'!#REF!="Leve"),CONCATENATE("R",'Mapa final'!#REF!),"")</f>
        <v>#REF!</v>
      </c>
      <c r="M34" s="248"/>
      <c r="N34" s="265" t="e">
        <f>IF(AND('Mapa final'!#REF!="Baja",'Mapa final'!#REF!="Leve"),CONCATENATE("R",'Mapa final'!#REF!),"")</f>
        <v>#REF!</v>
      </c>
      <c r="O34" s="244"/>
      <c r="P34" s="266" t="e">
        <f>IF(AND('Mapa final'!#REF!="Baja",'Mapa final'!#REF!="Menor"),CONCATENATE("R",'Mapa final'!#REF!),"")</f>
        <v>#REF!</v>
      </c>
      <c r="Q34" s="248"/>
      <c r="R34" s="266" t="e">
        <f>IF(AND('Mapa final'!#REF!="Baja",'Mapa final'!#REF!="Menor"),CONCATENATE("R",'Mapa final'!#REF!),"")</f>
        <v>#REF!</v>
      </c>
      <c r="S34" s="248"/>
      <c r="T34" s="266" t="e">
        <f>IF(AND('Mapa final'!#REF!="Baja",'Mapa final'!#REF!="Menor"),CONCATENATE("R",'Mapa final'!#REF!),"")</f>
        <v>#REF!</v>
      </c>
      <c r="U34" s="244"/>
      <c r="V34" s="267" t="e">
        <f>IF(AND('Mapa final'!#REF!="Baja",'Mapa final'!#REF!="Moderado"),CONCATENATE("R",'Mapa final'!#REF!),"")</f>
        <v>#REF!</v>
      </c>
      <c r="W34" s="248"/>
      <c r="X34" s="266" t="e">
        <f>IF(AND('Mapa final'!#REF!="Baja",'Mapa final'!#REF!="Moderado"),CONCATENATE("R",'Mapa final'!#REF!),"")</f>
        <v>#REF!</v>
      </c>
      <c r="Y34" s="248"/>
      <c r="Z34" s="266" t="e">
        <f>IF(AND('Mapa final'!#REF!="Baja",'Mapa final'!#REF!="Moderado"),CONCATENATE("R",'Mapa final'!#REF!),"")</f>
        <v>#REF!</v>
      </c>
      <c r="AA34" s="244"/>
      <c r="AB34" s="255" t="e">
        <f>IF(AND('Mapa final'!#REF!="Baja",'Mapa final'!#REF!="Mayor"),CONCATENATE("R",'Mapa final'!#REF!),"")</f>
        <v>#REF!</v>
      </c>
      <c r="AC34" s="248"/>
      <c r="AD34" s="243" t="e">
        <f>IF(AND('Mapa final'!#REF!="Baja",'Mapa final'!#REF!="Mayor"),CONCATENATE("R",'Mapa final'!#REF!),"")</f>
        <v>#REF!</v>
      </c>
      <c r="AE34" s="248"/>
      <c r="AF34" s="243" t="e">
        <f>IF(AND('Mapa final'!#REF!="Baja",'Mapa final'!#REF!="Mayor"),CONCATENATE("R",'Mapa final'!#REF!),"")</f>
        <v>#REF!</v>
      </c>
      <c r="AG34" s="244"/>
      <c r="AH34" s="247" t="e">
        <f>IF(AND('Mapa final'!#REF!="Baja",'Mapa final'!#REF!="Catastrófico"),CONCATENATE("R",'Mapa final'!#REF!),"")</f>
        <v>#REF!</v>
      </c>
      <c r="AI34" s="248"/>
      <c r="AJ34" s="251" t="e">
        <f>IF(AND('Mapa final'!#REF!="Baja",'Mapa final'!#REF!="Catastrófico"),CONCATENATE("R",'Mapa final'!#REF!),"")</f>
        <v>#REF!</v>
      </c>
      <c r="AK34" s="248"/>
      <c r="AL34" s="251" t="e">
        <f>IF(AND('Mapa final'!#REF!="Baja",'Mapa final'!#REF!="Catastrófico"),CONCATENATE("R",'Mapa final'!#REF!),"")</f>
        <v>#REF!</v>
      </c>
      <c r="AM34" s="244"/>
      <c r="AN34" s="1"/>
      <c r="AO34" s="271"/>
      <c r="AP34" s="211"/>
      <c r="AQ34" s="211"/>
      <c r="AR34" s="211"/>
      <c r="AS34" s="211"/>
      <c r="AT34" s="272"/>
    </row>
    <row r="35" spans="2:46" ht="15.75" customHeight="1" x14ac:dyDescent="0.25">
      <c r="B35" s="288"/>
      <c r="C35" s="211"/>
      <c r="D35" s="212"/>
      <c r="E35" s="223"/>
      <c r="F35" s="211"/>
      <c r="G35" s="211"/>
      <c r="H35" s="211"/>
      <c r="I35" s="211"/>
      <c r="J35" s="249"/>
      <c r="K35" s="250"/>
      <c r="L35" s="245"/>
      <c r="M35" s="250"/>
      <c r="N35" s="245"/>
      <c r="O35" s="246"/>
      <c r="P35" s="245"/>
      <c r="Q35" s="250"/>
      <c r="R35" s="245"/>
      <c r="S35" s="250"/>
      <c r="T35" s="245"/>
      <c r="U35" s="246"/>
      <c r="V35" s="249"/>
      <c r="W35" s="250"/>
      <c r="X35" s="245"/>
      <c r="Y35" s="250"/>
      <c r="Z35" s="245"/>
      <c r="AA35" s="246"/>
      <c r="AB35" s="249"/>
      <c r="AC35" s="250"/>
      <c r="AD35" s="245"/>
      <c r="AE35" s="250"/>
      <c r="AF35" s="245"/>
      <c r="AG35" s="246"/>
      <c r="AH35" s="249"/>
      <c r="AI35" s="250"/>
      <c r="AJ35" s="245"/>
      <c r="AK35" s="250"/>
      <c r="AL35" s="245"/>
      <c r="AM35" s="246"/>
      <c r="AN35" s="1"/>
      <c r="AO35" s="271"/>
      <c r="AP35" s="211"/>
      <c r="AQ35" s="211"/>
      <c r="AR35" s="211"/>
      <c r="AS35" s="211"/>
      <c r="AT35" s="272"/>
    </row>
    <row r="36" spans="2:46" ht="15.75" customHeight="1" x14ac:dyDescent="0.25">
      <c r="B36" s="288"/>
      <c r="C36" s="211"/>
      <c r="D36" s="212"/>
      <c r="E36" s="223"/>
      <c r="F36" s="211"/>
      <c r="G36" s="211"/>
      <c r="H36" s="211"/>
      <c r="I36" s="211"/>
      <c r="J36" s="283" t="e">
        <f>IF(AND('Mapa final'!#REF!="Baja",'Mapa final'!#REF!="Leve"),CONCATENATE("R",'Mapa final'!#REF!),"")</f>
        <v>#REF!</v>
      </c>
      <c r="K36" s="248"/>
      <c r="L36" s="265" t="str">
        <f>IF(AND('Mapa final'!$H$46="Baja",'Mapa final'!$L$46="Leve"),CONCATENATE("R",'Mapa final'!$A$46),"")</f>
        <v/>
      </c>
      <c r="M36" s="248"/>
      <c r="N36" s="265" t="str">
        <f>IF(AND('Mapa final'!$H$52="Baja",'Mapa final'!$L$52="Leve"),CONCATENATE("R",'Mapa final'!$A$52),"")</f>
        <v/>
      </c>
      <c r="O36" s="244"/>
      <c r="P36" s="266" t="e">
        <f>IF(AND('Mapa final'!#REF!="Baja",'Mapa final'!#REF!="Menor"),CONCATENATE("R",'Mapa final'!#REF!),"")</f>
        <v>#REF!</v>
      </c>
      <c r="Q36" s="248"/>
      <c r="R36" s="266" t="str">
        <f>IF(AND('Mapa final'!$H$46="Baja",'Mapa final'!$L$46="Menor"),CONCATENATE("R",'Mapa final'!$A$46),"")</f>
        <v/>
      </c>
      <c r="S36" s="248"/>
      <c r="T36" s="266" t="str">
        <f>IF(AND('Mapa final'!$H$52="Baja",'Mapa final'!$L$52="Menor"),CONCATENATE("R",'Mapa final'!$A$52),"")</f>
        <v/>
      </c>
      <c r="U36" s="244"/>
      <c r="V36" s="267" t="e">
        <f>IF(AND('Mapa final'!#REF!="Baja",'Mapa final'!#REF!="Moderado"),CONCATENATE("R",'Mapa final'!#REF!),"")</f>
        <v>#REF!</v>
      </c>
      <c r="W36" s="248"/>
      <c r="X36" s="266" t="str">
        <f>IF(AND('Mapa final'!$H$46="Baja",'Mapa final'!$L$46="Moderado"),CONCATENATE("R",'Mapa final'!$A$46),"")</f>
        <v/>
      </c>
      <c r="Y36" s="248"/>
      <c r="Z36" s="266" t="str">
        <f>IF(AND('Mapa final'!$H$52="Baja",'Mapa final'!$L$52="Moderado"),CONCATENATE("R",'Mapa final'!$A$52),"")</f>
        <v/>
      </c>
      <c r="AA36" s="244"/>
      <c r="AB36" s="255" t="e">
        <f>IF(AND('Mapa final'!#REF!="Baja",'Mapa final'!#REF!="Mayor"),CONCATENATE("R",'Mapa final'!#REF!),"")</f>
        <v>#REF!</v>
      </c>
      <c r="AC36" s="248"/>
      <c r="AD36" s="243" t="str">
        <f>IF(AND('Mapa final'!$H$46="Baja",'Mapa final'!$L$46="Mayor"),CONCATENATE("R",'Mapa final'!$A$46),"")</f>
        <v/>
      </c>
      <c r="AE36" s="248"/>
      <c r="AF36" s="243" t="str">
        <f>IF(AND('Mapa final'!$H$52="Baja",'Mapa final'!$L$52="Mayor"),CONCATENATE("R",'Mapa final'!$A$52),"")</f>
        <v/>
      </c>
      <c r="AG36" s="244"/>
      <c r="AH36" s="247" t="e">
        <f>IF(AND('Mapa final'!#REF!="Baja",'Mapa final'!#REF!="Catastrófico"),CONCATENATE("R",'Mapa final'!#REF!),"")</f>
        <v>#REF!</v>
      </c>
      <c r="AI36" s="248"/>
      <c r="AJ36" s="251" t="str">
        <f>IF(AND('Mapa final'!$H$46="Baja",'Mapa final'!$L$46="Catastrófico"),CONCATENATE("R",'Mapa final'!$A$46),"")</f>
        <v/>
      </c>
      <c r="AK36" s="248"/>
      <c r="AL36" s="251" t="str">
        <f>IF(AND('Mapa final'!$H$52="Baja",'Mapa final'!$L$52="Catastrófico"),CONCATENATE("R",'Mapa final'!$A$52),"")</f>
        <v/>
      </c>
      <c r="AM36" s="244"/>
      <c r="AN36" s="1"/>
      <c r="AO36" s="271"/>
      <c r="AP36" s="211"/>
      <c r="AQ36" s="211"/>
      <c r="AR36" s="211"/>
      <c r="AS36" s="211"/>
      <c r="AT36" s="272"/>
    </row>
    <row r="37" spans="2:46" ht="15.75" customHeight="1" x14ac:dyDescent="0.25">
      <c r="B37" s="288"/>
      <c r="C37" s="211"/>
      <c r="D37" s="212"/>
      <c r="E37" s="257"/>
      <c r="F37" s="281"/>
      <c r="G37" s="281"/>
      <c r="H37" s="281"/>
      <c r="I37" s="281"/>
      <c r="J37" s="257"/>
      <c r="K37" s="258"/>
      <c r="L37" s="259"/>
      <c r="M37" s="258"/>
      <c r="N37" s="259"/>
      <c r="O37" s="260"/>
      <c r="P37" s="259"/>
      <c r="Q37" s="258"/>
      <c r="R37" s="259"/>
      <c r="S37" s="258"/>
      <c r="T37" s="259"/>
      <c r="U37" s="260"/>
      <c r="V37" s="257"/>
      <c r="W37" s="258"/>
      <c r="X37" s="259"/>
      <c r="Y37" s="258"/>
      <c r="Z37" s="259"/>
      <c r="AA37" s="260"/>
      <c r="AB37" s="257"/>
      <c r="AC37" s="258"/>
      <c r="AD37" s="259"/>
      <c r="AE37" s="258"/>
      <c r="AF37" s="259"/>
      <c r="AG37" s="260"/>
      <c r="AH37" s="257"/>
      <c r="AI37" s="258"/>
      <c r="AJ37" s="259"/>
      <c r="AK37" s="258"/>
      <c r="AL37" s="259"/>
      <c r="AM37" s="260"/>
      <c r="AN37" s="1"/>
      <c r="AO37" s="273"/>
      <c r="AP37" s="274"/>
      <c r="AQ37" s="274"/>
      <c r="AR37" s="274"/>
      <c r="AS37" s="274"/>
      <c r="AT37" s="275"/>
    </row>
    <row r="38" spans="2:46" ht="15.75" customHeight="1" x14ac:dyDescent="0.25">
      <c r="B38" s="288"/>
      <c r="C38" s="211"/>
      <c r="D38" s="212"/>
      <c r="E38" s="279" t="s">
        <v>103</v>
      </c>
      <c r="F38" s="280"/>
      <c r="G38" s="280"/>
      <c r="H38" s="280"/>
      <c r="I38" s="262"/>
      <c r="J38" s="282" t="str">
        <f>IF(AND('Mapa final'!$H$16="Muy Baja",'Mapa final'!$L$16="Leve"),CONCATENATE("R",'Mapa final'!$A$16),"")</f>
        <v/>
      </c>
      <c r="K38" s="253"/>
      <c r="L38" s="284" t="str">
        <f>IF(AND('Mapa final'!$H$21="Muy Baja",'Mapa final'!$L$21="Leve"),CONCATENATE("R",'Mapa final'!$A$21),"")</f>
        <v/>
      </c>
      <c r="M38" s="253"/>
      <c r="N38" s="284" t="str">
        <f>IF(AND('Mapa final'!$H$26="Muy Baja",'Mapa final'!$L$26="Leve"),CONCATENATE("R",'Mapa final'!$A$26),"")</f>
        <v/>
      </c>
      <c r="O38" s="262"/>
      <c r="P38" s="282" t="str">
        <f>IF(AND('Mapa final'!$H$16="Muy Baja",'Mapa final'!$L$16="Menor"),CONCATENATE("R",'Mapa final'!$A$16),"")</f>
        <v/>
      </c>
      <c r="Q38" s="253"/>
      <c r="R38" s="284" t="str">
        <f>IF(AND('Mapa final'!$H$21="Muy Baja",'Mapa final'!$L$21="Menor"),CONCATENATE("R",'Mapa final'!$A$21),"")</f>
        <v/>
      </c>
      <c r="S38" s="253"/>
      <c r="T38" s="284" t="str">
        <f>IF(AND('Mapa final'!$H$26="Muy Baja",'Mapa final'!$L$26="Menor"),CONCATENATE("R",'Mapa final'!$A$26),"")</f>
        <v/>
      </c>
      <c r="U38" s="262"/>
      <c r="V38" s="263" t="str">
        <f>IF(AND('Mapa final'!$H$16="Muy Baja",'Mapa final'!$L$16="Moderado"),CONCATENATE("R",'Mapa final'!$A$16),"")</f>
        <v/>
      </c>
      <c r="W38" s="253"/>
      <c r="X38" s="261" t="str">
        <f>IF(AND('Mapa final'!$H$21="Muy Baja",'Mapa final'!$L$21="Moderado"),CONCATENATE("R",'Mapa final'!$A$21),"")</f>
        <v/>
      </c>
      <c r="Y38" s="253"/>
      <c r="Z38" s="261" t="str">
        <f>IF(AND('Mapa final'!$H$26="Muy Baja",'Mapa final'!$L$26="Moderado"),CONCATENATE("R",'Mapa final'!$A$26),"")</f>
        <v/>
      </c>
      <c r="AA38" s="262"/>
      <c r="AB38" s="252" t="str">
        <f>IF(AND('Mapa final'!$H$16="Muy Baja",'Mapa final'!$L$16="Mayor"),CONCATENATE("R",'Mapa final'!$A$16),"")</f>
        <v/>
      </c>
      <c r="AC38" s="253"/>
      <c r="AD38" s="254" t="str">
        <f>IF(AND('Mapa final'!$H$21="Muy Baja",'Mapa final'!$L$21="Mayor"),CONCATENATE("R",'Mapa final'!$A$21),"")</f>
        <v/>
      </c>
      <c r="AE38" s="253"/>
      <c r="AF38" s="254" t="str">
        <f>IF(AND('Mapa final'!$H$26="Muy Baja",'Mapa final'!$L$26="Mayor"),CONCATENATE("R",'Mapa final'!$A$26),"")</f>
        <v/>
      </c>
      <c r="AG38" s="262"/>
      <c r="AH38" s="264" t="str">
        <f>IF(AND('Mapa final'!$H$16="Muy Baja",'Mapa final'!$L$16="Catastrófico"),CONCATENATE("R",'Mapa final'!$A$16),"")</f>
        <v/>
      </c>
      <c r="AI38" s="253"/>
      <c r="AJ38" s="256" t="str">
        <f>IF(AND('Mapa final'!$H$21="Muy Baja",'Mapa final'!$L$21="Catastrófico"),CONCATENATE("R",'Mapa final'!$A$21),"")</f>
        <v/>
      </c>
      <c r="AK38" s="253"/>
      <c r="AL38" s="256" t="str">
        <f>IF(AND('Mapa final'!$H$26="Muy Baja",'Mapa final'!$L$26="Catastrófico"),CONCATENATE("R",'Mapa final'!$A$26),"")</f>
        <v/>
      </c>
      <c r="AM38" s="262"/>
      <c r="AN38" s="1"/>
      <c r="AO38" s="1"/>
      <c r="AP38" s="1"/>
      <c r="AQ38" s="1"/>
      <c r="AR38" s="1"/>
      <c r="AS38" s="1"/>
      <c r="AT38" s="1"/>
    </row>
    <row r="39" spans="2:46" ht="15.75" customHeight="1" x14ac:dyDescent="0.25">
      <c r="B39" s="288"/>
      <c r="C39" s="211"/>
      <c r="D39" s="212"/>
      <c r="E39" s="223"/>
      <c r="F39" s="211"/>
      <c r="G39" s="211"/>
      <c r="H39" s="211"/>
      <c r="I39" s="212"/>
      <c r="J39" s="249"/>
      <c r="K39" s="250"/>
      <c r="L39" s="245"/>
      <c r="M39" s="250"/>
      <c r="N39" s="245"/>
      <c r="O39" s="246"/>
      <c r="P39" s="249"/>
      <c r="Q39" s="250"/>
      <c r="R39" s="245"/>
      <c r="S39" s="250"/>
      <c r="T39" s="245"/>
      <c r="U39" s="246"/>
      <c r="V39" s="249"/>
      <c r="W39" s="250"/>
      <c r="X39" s="245"/>
      <c r="Y39" s="250"/>
      <c r="Z39" s="245"/>
      <c r="AA39" s="246"/>
      <c r="AB39" s="249"/>
      <c r="AC39" s="250"/>
      <c r="AD39" s="245"/>
      <c r="AE39" s="250"/>
      <c r="AF39" s="245"/>
      <c r="AG39" s="246"/>
      <c r="AH39" s="249"/>
      <c r="AI39" s="250"/>
      <c r="AJ39" s="245"/>
      <c r="AK39" s="250"/>
      <c r="AL39" s="245"/>
      <c r="AM39" s="246"/>
      <c r="AN39" s="1"/>
      <c r="AO39" s="1"/>
      <c r="AP39" s="1"/>
      <c r="AQ39" s="1"/>
      <c r="AR39" s="1"/>
      <c r="AS39" s="1"/>
      <c r="AT39" s="1"/>
    </row>
    <row r="40" spans="2:46" ht="15.75" customHeight="1" x14ac:dyDescent="0.25">
      <c r="B40" s="288"/>
      <c r="C40" s="211"/>
      <c r="D40" s="212"/>
      <c r="E40" s="223"/>
      <c r="F40" s="211"/>
      <c r="G40" s="211"/>
      <c r="H40" s="211"/>
      <c r="I40" s="212"/>
      <c r="J40" s="283" t="str">
        <f>IF(AND('Mapa final'!$H$31="Muy Baja",'Mapa final'!$L$31="Leve"),CONCATENATE("R",'Mapa final'!$A$31),"")</f>
        <v/>
      </c>
      <c r="K40" s="248"/>
      <c r="L40" s="265" t="str">
        <f>IF(AND('Mapa final'!$H$36="Muy Baja",'Mapa final'!$L$36="Leve"),CONCATENATE("R",'Mapa final'!$A$36),"")</f>
        <v/>
      </c>
      <c r="M40" s="248"/>
      <c r="N40" s="265" t="str">
        <f>IF(AND('Mapa final'!$H$41="Muy Baja",'Mapa final'!$L$41="Leve"),CONCATENATE("R",'Mapa final'!$A$41),"")</f>
        <v/>
      </c>
      <c r="O40" s="244"/>
      <c r="P40" s="283" t="str">
        <f>IF(AND('Mapa final'!$H$31="Muy Baja",'Mapa final'!$L$31="Menor"),CONCATENATE("R",'Mapa final'!$A$31),"")</f>
        <v/>
      </c>
      <c r="Q40" s="248"/>
      <c r="R40" s="265" t="str">
        <f>IF(AND('Mapa final'!$H$36="Muy Baja",'Mapa final'!$L$36="Menor"),CONCATENATE("R",'Mapa final'!$A$36),"")</f>
        <v/>
      </c>
      <c r="S40" s="248"/>
      <c r="T40" s="265" t="str">
        <f>IF(AND('Mapa final'!$H$41="Muy Baja",'Mapa final'!$L$41="Menor"),CONCATENATE("R",'Mapa final'!$A$41),"")</f>
        <v/>
      </c>
      <c r="U40" s="244"/>
      <c r="V40" s="267" t="str">
        <f>IF(AND('Mapa final'!$H$31="Muy Baja",'Mapa final'!$L$31="Moderado"),CONCATENATE("R",'Mapa final'!$A$31),"")</f>
        <v/>
      </c>
      <c r="W40" s="248"/>
      <c r="X40" s="266" t="str">
        <f>IF(AND('Mapa final'!$H$36="Muy Baja",'Mapa final'!$L$36="Moderado"),CONCATENATE("R",'Mapa final'!$A$36),"")</f>
        <v/>
      </c>
      <c r="Y40" s="248"/>
      <c r="Z40" s="266" t="str">
        <f>IF(AND('Mapa final'!$H$41="Muy Baja",'Mapa final'!$L$41="Moderado"),CONCATENATE("R",'Mapa final'!$A$41),"")</f>
        <v/>
      </c>
      <c r="AA40" s="244"/>
      <c r="AB40" s="255" t="str">
        <f>IF(AND('Mapa final'!$H$31="Muy Baja",'Mapa final'!$L$31="Mayor"),CONCATENATE("R",'Mapa final'!$A$31),"")</f>
        <v/>
      </c>
      <c r="AC40" s="248"/>
      <c r="AD40" s="243" t="str">
        <f>IF(AND('Mapa final'!$H$36="Muy Baja",'Mapa final'!$L$36="Mayor"),CONCATENATE("R",'Mapa final'!$A$36),"")</f>
        <v/>
      </c>
      <c r="AE40" s="248"/>
      <c r="AF40" s="243" t="str">
        <f>IF(AND('Mapa final'!$H$41="Muy Baja",'Mapa final'!$L$41="Mayor"),CONCATENATE("R",'Mapa final'!$A$41),"")</f>
        <v/>
      </c>
      <c r="AG40" s="244"/>
      <c r="AH40" s="247" t="str">
        <f>IF(AND('Mapa final'!$H$31="Muy Baja",'Mapa final'!$L$31="Catastrófico"),CONCATENATE("R",'Mapa final'!$A$31),"")</f>
        <v/>
      </c>
      <c r="AI40" s="248"/>
      <c r="AJ40" s="251" t="str">
        <f>IF(AND('Mapa final'!$H$36="Muy Baja",'Mapa final'!$L$36="Catastrófico"),CONCATENATE("R",'Mapa final'!$A$36),"")</f>
        <v/>
      </c>
      <c r="AK40" s="248"/>
      <c r="AL40" s="251" t="str">
        <f>IF(AND('Mapa final'!$H$41="Muy Baja",'Mapa final'!$L$41="Catastrófico"),CONCATENATE("R",'Mapa final'!$A$41),"")</f>
        <v/>
      </c>
      <c r="AM40" s="244"/>
      <c r="AN40" s="1"/>
      <c r="AO40" s="1"/>
      <c r="AP40" s="1"/>
      <c r="AQ40" s="1"/>
      <c r="AR40" s="1"/>
      <c r="AS40" s="1"/>
      <c r="AT40" s="1"/>
    </row>
    <row r="41" spans="2:46" ht="15.75" customHeight="1" x14ac:dyDescent="0.25">
      <c r="B41" s="288"/>
      <c r="C41" s="211"/>
      <c r="D41" s="212"/>
      <c r="E41" s="223"/>
      <c r="F41" s="211"/>
      <c r="G41" s="211"/>
      <c r="H41" s="211"/>
      <c r="I41" s="212"/>
      <c r="J41" s="249"/>
      <c r="K41" s="250"/>
      <c r="L41" s="245"/>
      <c r="M41" s="250"/>
      <c r="N41" s="245"/>
      <c r="O41" s="246"/>
      <c r="P41" s="249"/>
      <c r="Q41" s="250"/>
      <c r="R41" s="245"/>
      <c r="S41" s="250"/>
      <c r="T41" s="245"/>
      <c r="U41" s="246"/>
      <c r="V41" s="249"/>
      <c r="W41" s="250"/>
      <c r="X41" s="245"/>
      <c r="Y41" s="250"/>
      <c r="Z41" s="245"/>
      <c r="AA41" s="246"/>
      <c r="AB41" s="249"/>
      <c r="AC41" s="250"/>
      <c r="AD41" s="245"/>
      <c r="AE41" s="250"/>
      <c r="AF41" s="245"/>
      <c r="AG41" s="246"/>
      <c r="AH41" s="249"/>
      <c r="AI41" s="250"/>
      <c r="AJ41" s="245"/>
      <c r="AK41" s="250"/>
      <c r="AL41" s="245"/>
      <c r="AM41" s="246"/>
      <c r="AN41" s="1"/>
      <c r="AO41" s="1"/>
      <c r="AP41" s="1"/>
      <c r="AQ41" s="1"/>
      <c r="AR41" s="1"/>
      <c r="AS41" s="1"/>
      <c r="AT41" s="1"/>
    </row>
    <row r="42" spans="2:46" ht="15.75" customHeight="1" x14ac:dyDescent="0.25">
      <c r="B42" s="288"/>
      <c r="C42" s="211"/>
      <c r="D42" s="212"/>
      <c r="E42" s="223"/>
      <c r="F42" s="211"/>
      <c r="G42" s="211"/>
      <c r="H42" s="211"/>
      <c r="I42" s="212"/>
      <c r="J42" s="283" t="e">
        <f>IF(AND('Mapa final'!#REF!="Muy Baja",'Mapa final'!#REF!="Leve"),CONCATENATE("R",'Mapa final'!#REF!),"")</f>
        <v>#REF!</v>
      </c>
      <c r="K42" s="248"/>
      <c r="L42" s="265" t="e">
        <f>IF(AND('Mapa final'!#REF!="Muy Baja",'Mapa final'!#REF!="Leve"),CONCATENATE("R",'Mapa final'!#REF!),"")</f>
        <v>#REF!</v>
      </c>
      <c r="M42" s="248"/>
      <c r="N42" s="265" t="e">
        <f>IF(AND('Mapa final'!#REF!="Muy Baja",'Mapa final'!#REF!="Leve"),CONCATENATE("R",'Mapa final'!#REF!),"")</f>
        <v>#REF!</v>
      </c>
      <c r="O42" s="244"/>
      <c r="P42" s="283" t="e">
        <f>IF(AND('Mapa final'!#REF!="Muy Baja",'Mapa final'!#REF!="Menor"),CONCATENATE("R",'Mapa final'!#REF!),"")</f>
        <v>#REF!</v>
      </c>
      <c r="Q42" s="248"/>
      <c r="R42" s="265" t="e">
        <f>IF(AND('Mapa final'!#REF!="Muy Baja",'Mapa final'!#REF!="Menor"),CONCATENATE("R",'Mapa final'!#REF!),"")</f>
        <v>#REF!</v>
      </c>
      <c r="S42" s="248"/>
      <c r="T42" s="265" t="e">
        <f>IF(AND('Mapa final'!#REF!="Muy Baja",'Mapa final'!#REF!="Menor"),CONCATENATE("R",'Mapa final'!#REF!),"")</f>
        <v>#REF!</v>
      </c>
      <c r="U42" s="244"/>
      <c r="V42" s="267" t="e">
        <f>IF(AND('Mapa final'!#REF!="Muy Baja",'Mapa final'!#REF!="Moderado"),CONCATENATE("R",'Mapa final'!#REF!),"")</f>
        <v>#REF!</v>
      </c>
      <c r="W42" s="248"/>
      <c r="X42" s="266" t="e">
        <f>IF(AND('Mapa final'!#REF!="Muy Baja",'Mapa final'!#REF!="Moderado"),CONCATENATE("R",'Mapa final'!#REF!),"")</f>
        <v>#REF!</v>
      </c>
      <c r="Y42" s="248"/>
      <c r="Z42" s="266" t="e">
        <f>IF(AND('Mapa final'!#REF!="Muy Baja",'Mapa final'!#REF!="Moderado"),CONCATENATE("R",'Mapa final'!#REF!),"")</f>
        <v>#REF!</v>
      </c>
      <c r="AA42" s="244"/>
      <c r="AB42" s="255" t="e">
        <f>IF(AND('Mapa final'!#REF!="Muy Baja",'Mapa final'!#REF!="Mayor"),CONCATENATE("R",'Mapa final'!#REF!),"")</f>
        <v>#REF!</v>
      </c>
      <c r="AC42" s="248"/>
      <c r="AD42" s="243" t="e">
        <f>IF(AND('Mapa final'!#REF!="Muy Baja",'Mapa final'!#REF!="Mayor"),CONCATENATE("R",'Mapa final'!#REF!),"")</f>
        <v>#REF!</v>
      </c>
      <c r="AE42" s="248"/>
      <c r="AF42" s="243" t="e">
        <f>IF(AND('Mapa final'!#REF!="Muy Baja",'Mapa final'!#REF!="Mayor"),CONCATENATE("R",'Mapa final'!#REF!),"")</f>
        <v>#REF!</v>
      </c>
      <c r="AG42" s="244"/>
      <c r="AH42" s="247" t="e">
        <f>IF(AND('Mapa final'!#REF!="Muy Baja",'Mapa final'!#REF!="Catastrófico"),CONCATENATE("R",'Mapa final'!#REF!),"")</f>
        <v>#REF!</v>
      </c>
      <c r="AI42" s="248"/>
      <c r="AJ42" s="251" t="e">
        <f>IF(AND('Mapa final'!#REF!="Muy Baja",'Mapa final'!#REF!="Catastrófico"),CONCATENATE("R",'Mapa final'!#REF!),"")</f>
        <v>#REF!</v>
      </c>
      <c r="AK42" s="248"/>
      <c r="AL42" s="251" t="e">
        <f>IF(AND('Mapa final'!#REF!="Muy Baja",'Mapa final'!#REF!="Catastrófico"),CONCATENATE("R",'Mapa final'!#REF!),"")</f>
        <v>#REF!</v>
      </c>
      <c r="AM42" s="244"/>
      <c r="AN42" s="1"/>
      <c r="AO42" s="1"/>
      <c r="AP42" s="1"/>
      <c r="AQ42" s="1"/>
      <c r="AR42" s="1"/>
      <c r="AS42" s="1"/>
      <c r="AT42" s="1"/>
    </row>
    <row r="43" spans="2:46" ht="15.75" customHeight="1" x14ac:dyDescent="0.25">
      <c r="B43" s="288"/>
      <c r="C43" s="211"/>
      <c r="D43" s="212"/>
      <c r="E43" s="223"/>
      <c r="F43" s="211"/>
      <c r="G43" s="211"/>
      <c r="H43" s="211"/>
      <c r="I43" s="212"/>
      <c r="J43" s="249"/>
      <c r="K43" s="250"/>
      <c r="L43" s="245"/>
      <c r="M43" s="250"/>
      <c r="N43" s="245"/>
      <c r="O43" s="246"/>
      <c r="P43" s="249"/>
      <c r="Q43" s="250"/>
      <c r="R43" s="245"/>
      <c r="S43" s="250"/>
      <c r="T43" s="245"/>
      <c r="U43" s="246"/>
      <c r="V43" s="249"/>
      <c r="W43" s="250"/>
      <c r="X43" s="245"/>
      <c r="Y43" s="250"/>
      <c r="Z43" s="245"/>
      <c r="AA43" s="246"/>
      <c r="AB43" s="249"/>
      <c r="AC43" s="250"/>
      <c r="AD43" s="245"/>
      <c r="AE43" s="250"/>
      <c r="AF43" s="245"/>
      <c r="AG43" s="246"/>
      <c r="AH43" s="249"/>
      <c r="AI43" s="250"/>
      <c r="AJ43" s="245"/>
      <c r="AK43" s="250"/>
      <c r="AL43" s="245"/>
      <c r="AM43" s="246"/>
      <c r="AN43" s="1"/>
      <c r="AO43" s="1"/>
      <c r="AP43" s="1"/>
      <c r="AQ43" s="1"/>
      <c r="AR43" s="1"/>
      <c r="AS43" s="1"/>
      <c r="AT43" s="1"/>
    </row>
    <row r="44" spans="2:46" ht="15.75" customHeight="1" x14ac:dyDescent="0.25">
      <c r="B44" s="288"/>
      <c r="C44" s="211"/>
      <c r="D44" s="212"/>
      <c r="E44" s="223"/>
      <c r="F44" s="211"/>
      <c r="G44" s="211"/>
      <c r="H44" s="211"/>
      <c r="I44" s="212"/>
      <c r="J44" s="283" t="e">
        <f>IF(AND('Mapa final'!#REF!="Muy Baja",'Mapa final'!#REF!="Leve"),CONCATENATE("R",'Mapa final'!#REF!),"")</f>
        <v>#REF!</v>
      </c>
      <c r="K44" s="248"/>
      <c r="L44" s="265" t="str">
        <f>IF(AND('Mapa final'!$H$46="Muy Baja",'Mapa final'!$L$46="Leve"),CONCATENATE("R",'Mapa final'!$A$46),"")</f>
        <v/>
      </c>
      <c r="M44" s="248"/>
      <c r="N44" s="265" t="str">
        <f>IF(AND('Mapa final'!$H$52="Muy Baja",'Mapa final'!$L$52="Leve"),CONCATENATE("R",'Mapa final'!$A$52),"")</f>
        <v/>
      </c>
      <c r="O44" s="244"/>
      <c r="P44" s="283" t="e">
        <f>IF(AND('Mapa final'!#REF!="Muy Baja",'Mapa final'!#REF!="Menor"),CONCATENATE("R",'Mapa final'!#REF!),"")</f>
        <v>#REF!</v>
      </c>
      <c r="Q44" s="248"/>
      <c r="R44" s="265" t="str">
        <f>IF(AND('Mapa final'!$H$46="Muy Baja",'Mapa final'!$L$46="Menor"),CONCATENATE("R",'Mapa final'!$A$46),"")</f>
        <v/>
      </c>
      <c r="S44" s="248"/>
      <c r="T44" s="265" t="str">
        <f>IF(AND('Mapa final'!$H$52="Muy Baja",'Mapa final'!$L$52="Menor"),CONCATENATE("R",'Mapa final'!$A$52),"")</f>
        <v/>
      </c>
      <c r="U44" s="244"/>
      <c r="V44" s="267" t="e">
        <f>IF(AND('Mapa final'!#REF!="Muy Baja",'Mapa final'!#REF!="Moderado"),CONCATENATE("R",'Mapa final'!#REF!),"")</f>
        <v>#REF!</v>
      </c>
      <c r="W44" s="248"/>
      <c r="X44" s="266" t="str">
        <f>IF(AND('Mapa final'!$H$46="Muy Baja",'Mapa final'!$L$46="Moderado"),CONCATENATE("R",'Mapa final'!$A$46),"")</f>
        <v/>
      </c>
      <c r="Y44" s="248"/>
      <c r="Z44" s="266" t="str">
        <f>IF(AND('Mapa final'!$H$52="Muy Baja",'Mapa final'!$L$52="Moderado"),CONCATENATE("R",'Mapa final'!$A$52),"")</f>
        <v/>
      </c>
      <c r="AA44" s="244"/>
      <c r="AB44" s="255" t="e">
        <f>IF(AND('Mapa final'!#REF!="Muy Baja",'Mapa final'!#REF!="Mayor"),CONCATENATE("R",'Mapa final'!#REF!),"")</f>
        <v>#REF!</v>
      </c>
      <c r="AC44" s="248"/>
      <c r="AD44" s="243" t="str">
        <f>IF(AND('Mapa final'!$H$46="Muy Baja",'Mapa final'!$L$46="Mayor"),CONCATENATE("R",'Mapa final'!$A$46),"")</f>
        <v/>
      </c>
      <c r="AE44" s="248"/>
      <c r="AF44" s="243" t="str">
        <f>IF(AND('Mapa final'!$H$52="Muy Baja",'Mapa final'!$L$52="Mayor"),CONCATENATE("R",'Mapa final'!$A$52),"")</f>
        <v/>
      </c>
      <c r="AG44" s="244"/>
      <c r="AH44" s="247" t="e">
        <f>IF(AND('Mapa final'!#REF!="Muy Baja",'Mapa final'!#REF!="Catastrófico"),CONCATENATE("R",'Mapa final'!#REF!),"")</f>
        <v>#REF!</v>
      </c>
      <c r="AI44" s="248"/>
      <c r="AJ44" s="251" t="str">
        <f>IF(AND('Mapa final'!$H$46="Muy Baja",'Mapa final'!$L$46="Catastrófico"),CONCATENATE("R",'Mapa final'!$A$46),"")</f>
        <v/>
      </c>
      <c r="AK44" s="248"/>
      <c r="AL44" s="251" t="str">
        <f>IF(AND('Mapa final'!$H$52="Muy Baja",'Mapa final'!$L$52="Catastrófico"),CONCATENATE("R",'Mapa final'!$A$52),"")</f>
        <v/>
      </c>
      <c r="AM44" s="244"/>
      <c r="AN44" s="1"/>
      <c r="AO44" s="1"/>
      <c r="AP44" s="1"/>
      <c r="AQ44" s="1"/>
      <c r="AR44" s="1"/>
      <c r="AS44" s="1"/>
      <c r="AT44" s="1"/>
    </row>
    <row r="45" spans="2:46" ht="15.75" customHeight="1" x14ac:dyDescent="0.25">
      <c r="B45" s="245"/>
      <c r="C45" s="290"/>
      <c r="D45" s="246"/>
      <c r="E45" s="257"/>
      <c r="F45" s="281"/>
      <c r="G45" s="281"/>
      <c r="H45" s="281"/>
      <c r="I45" s="260"/>
      <c r="J45" s="257"/>
      <c r="K45" s="258"/>
      <c r="L45" s="259"/>
      <c r="M45" s="258"/>
      <c r="N45" s="259"/>
      <c r="O45" s="260"/>
      <c r="P45" s="257"/>
      <c r="Q45" s="258"/>
      <c r="R45" s="259"/>
      <c r="S45" s="258"/>
      <c r="T45" s="259"/>
      <c r="U45" s="260"/>
      <c r="V45" s="257"/>
      <c r="W45" s="258"/>
      <c r="X45" s="259"/>
      <c r="Y45" s="258"/>
      <c r="Z45" s="259"/>
      <c r="AA45" s="260"/>
      <c r="AB45" s="257"/>
      <c r="AC45" s="258"/>
      <c r="AD45" s="259"/>
      <c r="AE45" s="258"/>
      <c r="AF45" s="259"/>
      <c r="AG45" s="260"/>
      <c r="AH45" s="257"/>
      <c r="AI45" s="258"/>
      <c r="AJ45" s="259"/>
      <c r="AK45" s="258"/>
      <c r="AL45" s="259"/>
      <c r="AM45" s="260"/>
      <c r="AN45" s="1"/>
      <c r="AO45" s="1"/>
      <c r="AP45" s="1"/>
      <c r="AQ45" s="1"/>
      <c r="AR45" s="1"/>
      <c r="AS45" s="1"/>
      <c r="AT45" s="1"/>
    </row>
    <row r="46" spans="2:46" ht="15.75" customHeight="1" x14ac:dyDescent="0.25">
      <c r="B46" s="1"/>
      <c r="C46" s="1"/>
      <c r="D46" s="1"/>
      <c r="E46" s="1"/>
      <c r="F46" s="1"/>
      <c r="G46" s="1"/>
      <c r="H46" s="1"/>
      <c r="I46" s="1"/>
      <c r="J46" s="279" t="s">
        <v>104</v>
      </c>
      <c r="K46" s="280"/>
      <c r="L46" s="280"/>
      <c r="M46" s="280"/>
      <c r="N46" s="280"/>
      <c r="O46" s="262"/>
      <c r="P46" s="279" t="s">
        <v>105</v>
      </c>
      <c r="Q46" s="280"/>
      <c r="R46" s="280"/>
      <c r="S46" s="280"/>
      <c r="T46" s="280"/>
      <c r="U46" s="262"/>
      <c r="V46" s="279" t="s">
        <v>106</v>
      </c>
      <c r="W46" s="280"/>
      <c r="X46" s="280"/>
      <c r="Y46" s="280"/>
      <c r="Z46" s="280"/>
      <c r="AA46" s="262"/>
      <c r="AB46" s="279" t="s">
        <v>107</v>
      </c>
      <c r="AC46" s="280"/>
      <c r="AD46" s="280"/>
      <c r="AE46" s="280"/>
      <c r="AF46" s="280"/>
      <c r="AG46" s="262"/>
      <c r="AH46" s="279" t="s">
        <v>108</v>
      </c>
      <c r="AI46" s="280"/>
      <c r="AJ46" s="280"/>
      <c r="AK46" s="280"/>
      <c r="AL46" s="280"/>
      <c r="AM46" s="262"/>
      <c r="AN46" s="1"/>
      <c r="AO46" s="1"/>
      <c r="AP46" s="1"/>
      <c r="AQ46" s="1"/>
      <c r="AR46" s="1"/>
      <c r="AS46" s="1"/>
      <c r="AT46" s="1"/>
    </row>
    <row r="47" spans="2:46" ht="15.75" customHeight="1" x14ac:dyDescent="0.25">
      <c r="B47" s="1"/>
      <c r="C47" s="1"/>
      <c r="D47" s="1"/>
      <c r="E47" s="1"/>
      <c r="F47" s="1"/>
      <c r="G47" s="1"/>
      <c r="H47" s="1"/>
      <c r="I47" s="1"/>
      <c r="J47" s="223"/>
      <c r="K47" s="211"/>
      <c r="L47" s="211"/>
      <c r="M47" s="211"/>
      <c r="N47" s="211"/>
      <c r="O47" s="212"/>
      <c r="P47" s="223"/>
      <c r="Q47" s="211"/>
      <c r="R47" s="211"/>
      <c r="S47" s="211"/>
      <c r="T47" s="211"/>
      <c r="U47" s="212"/>
      <c r="V47" s="223"/>
      <c r="W47" s="211"/>
      <c r="X47" s="211"/>
      <c r="Y47" s="211"/>
      <c r="Z47" s="211"/>
      <c r="AA47" s="212"/>
      <c r="AB47" s="223"/>
      <c r="AC47" s="211"/>
      <c r="AD47" s="211"/>
      <c r="AE47" s="211"/>
      <c r="AF47" s="211"/>
      <c r="AG47" s="212"/>
      <c r="AH47" s="223"/>
      <c r="AI47" s="211"/>
      <c r="AJ47" s="211"/>
      <c r="AK47" s="211"/>
      <c r="AL47" s="211"/>
      <c r="AM47" s="212"/>
      <c r="AN47" s="1"/>
      <c r="AO47" s="1"/>
      <c r="AP47" s="1"/>
      <c r="AQ47" s="1"/>
      <c r="AR47" s="1"/>
      <c r="AS47" s="1"/>
      <c r="AT47" s="1"/>
    </row>
    <row r="48" spans="2:46" ht="15.75" customHeight="1" x14ac:dyDescent="0.25">
      <c r="B48" s="1"/>
      <c r="C48" s="1"/>
      <c r="D48" s="1"/>
      <c r="E48" s="1"/>
      <c r="F48" s="1"/>
      <c r="G48" s="1"/>
      <c r="H48" s="1"/>
      <c r="I48" s="1"/>
      <c r="J48" s="223"/>
      <c r="K48" s="211"/>
      <c r="L48" s="211"/>
      <c r="M48" s="211"/>
      <c r="N48" s="211"/>
      <c r="O48" s="212"/>
      <c r="P48" s="223"/>
      <c r="Q48" s="211"/>
      <c r="R48" s="211"/>
      <c r="S48" s="211"/>
      <c r="T48" s="211"/>
      <c r="U48" s="212"/>
      <c r="V48" s="223"/>
      <c r="W48" s="211"/>
      <c r="X48" s="211"/>
      <c r="Y48" s="211"/>
      <c r="Z48" s="211"/>
      <c r="AA48" s="212"/>
      <c r="AB48" s="223"/>
      <c r="AC48" s="211"/>
      <c r="AD48" s="211"/>
      <c r="AE48" s="211"/>
      <c r="AF48" s="211"/>
      <c r="AG48" s="212"/>
      <c r="AH48" s="223"/>
      <c r="AI48" s="211"/>
      <c r="AJ48" s="211"/>
      <c r="AK48" s="211"/>
      <c r="AL48" s="211"/>
      <c r="AM48" s="212"/>
      <c r="AN48" s="1"/>
      <c r="AO48" s="1"/>
      <c r="AP48" s="1"/>
      <c r="AQ48" s="1"/>
      <c r="AR48" s="1"/>
      <c r="AS48" s="1"/>
      <c r="AT48" s="1"/>
    </row>
    <row r="49" spans="2:39" ht="15.75" customHeight="1" x14ac:dyDescent="0.25">
      <c r="B49" s="1"/>
      <c r="C49" s="1"/>
      <c r="D49" s="1"/>
      <c r="E49" s="1"/>
      <c r="F49" s="1"/>
      <c r="G49" s="1"/>
      <c r="H49" s="1"/>
      <c r="I49" s="1"/>
      <c r="J49" s="223"/>
      <c r="K49" s="211"/>
      <c r="L49" s="211"/>
      <c r="M49" s="211"/>
      <c r="N49" s="211"/>
      <c r="O49" s="212"/>
      <c r="P49" s="223"/>
      <c r="Q49" s="211"/>
      <c r="R49" s="211"/>
      <c r="S49" s="211"/>
      <c r="T49" s="211"/>
      <c r="U49" s="212"/>
      <c r="V49" s="223"/>
      <c r="W49" s="211"/>
      <c r="X49" s="211"/>
      <c r="Y49" s="211"/>
      <c r="Z49" s="211"/>
      <c r="AA49" s="212"/>
      <c r="AB49" s="223"/>
      <c r="AC49" s="211"/>
      <c r="AD49" s="211"/>
      <c r="AE49" s="211"/>
      <c r="AF49" s="211"/>
      <c r="AG49" s="212"/>
      <c r="AH49" s="223"/>
      <c r="AI49" s="211"/>
      <c r="AJ49" s="211"/>
      <c r="AK49" s="211"/>
      <c r="AL49" s="211"/>
      <c r="AM49" s="212"/>
    </row>
    <row r="50" spans="2:39" ht="15.75" customHeight="1" x14ac:dyDescent="0.25">
      <c r="B50" s="1"/>
      <c r="C50" s="1"/>
      <c r="D50" s="1"/>
      <c r="E50" s="1"/>
      <c r="F50" s="1"/>
      <c r="G50" s="1"/>
      <c r="H50" s="1"/>
      <c r="I50" s="1"/>
      <c r="J50" s="223"/>
      <c r="K50" s="211"/>
      <c r="L50" s="211"/>
      <c r="M50" s="211"/>
      <c r="N50" s="211"/>
      <c r="O50" s="212"/>
      <c r="P50" s="223"/>
      <c r="Q50" s="211"/>
      <c r="R50" s="211"/>
      <c r="S50" s="211"/>
      <c r="T50" s="211"/>
      <c r="U50" s="212"/>
      <c r="V50" s="223"/>
      <c r="W50" s="211"/>
      <c r="X50" s="211"/>
      <c r="Y50" s="211"/>
      <c r="Z50" s="211"/>
      <c r="AA50" s="212"/>
      <c r="AB50" s="223"/>
      <c r="AC50" s="211"/>
      <c r="AD50" s="211"/>
      <c r="AE50" s="211"/>
      <c r="AF50" s="211"/>
      <c r="AG50" s="212"/>
      <c r="AH50" s="223"/>
      <c r="AI50" s="211"/>
      <c r="AJ50" s="211"/>
      <c r="AK50" s="211"/>
      <c r="AL50" s="211"/>
      <c r="AM50" s="212"/>
    </row>
    <row r="51" spans="2:39" ht="15.75" customHeight="1" x14ac:dyDescent="0.25">
      <c r="B51" s="1"/>
      <c r="C51" s="1"/>
      <c r="D51" s="1"/>
      <c r="E51" s="1"/>
      <c r="F51" s="1"/>
      <c r="G51" s="1"/>
      <c r="H51" s="1"/>
      <c r="I51" s="1"/>
      <c r="J51" s="257"/>
      <c r="K51" s="281"/>
      <c r="L51" s="281"/>
      <c r="M51" s="281"/>
      <c r="N51" s="281"/>
      <c r="O51" s="260"/>
      <c r="P51" s="257"/>
      <c r="Q51" s="281"/>
      <c r="R51" s="281"/>
      <c r="S51" s="281"/>
      <c r="T51" s="281"/>
      <c r="U51" s="260"/>
      <c r="V51" s="257"/>
      <c r="W51" s="281"/>
      <c r="X51" s="281"/>
      <c r="Y51" s="281"/>
      <c r="Z51" s="281"/>
      <c r="AA51" s="260"/>
      <c r="AB51" s="257"/>
      <c r="AC51" s="281"/>
      <c r="AD51" s="281"/>
      <c r="AE51" s="281"/>
      <c r="AF51" s="281"/>
      <c r="AG51" s="260"/>
      <c r="AH51" s="257"/>
      <c r="AI51" s="281"/>
      <c r="AJ51" s="281"/>
      <c r="AK51" s="281"/>
      <c r="AL51" s="281"/>
      <c r="AM51" s="260"/>
    </row>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61"/>
  <sheetViews>
    <sheetView topLeftCell="A40" zoomScale="50" zoomScaleNormal="50" workbookViewId="0">
      <selection activeCell="T46" sqref="T4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297" t="s">
        <v>109</v>
      </c>
      <c r="C2" s="211"/>
      <c r="D2" s="211"/>
      <c r="E2" s="211"/>
      <c r="F2" s="211"/>
      <c r="G2" s="211"/>
      <c r="H2" s="211"/>
      <c r="I2" s="211"/>
      <c r="J2" s="286" t="s">
        <v>15</v>
      </c>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48"/>
      <c r="AN2" s="1"/>
      <c r="AO2" s="1"/>
      <c r="AP2" s="1"/>
      <c r="AQ2" s="1"/>
      <c r="AR2" s="1"/>
      <c r="AS2" s="1"/>
      <c r="AT2" s="1"/>
    </row>
    <row r="3" spans="2:46" ht="18.75" customHeight="1" x14ac:dyDescent="0.25">
      <c r="B3" s="211"/>
      <c r="C3" s="211"/>
      <c r="D3" s="211"/>
      <c r="E3" s="211"/>
      <c r="F3" s="211"/>
      <c r="G3" s="211"/>
      <c r="H3" s="211"/>
      <c r="I3" s="211"/>
      <c r="J3" s="288"/>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89"/>
      <c r="AN3" s="1"/>
      <c r="AO3" s="1"/>
      <c r="AP3" s="1"/>
      <c r="AQ3" s="1"/>
      <c r="AR3" s="1"/>
      <c r="AS3" s="1"/>
      <c r="AT3" s="1"/>
    </row>
    <row r="4" spans="2:46" ht="15" customHeight="1" x14ac:dyDescent="0.25">
      <c r="B4" s="211"/>
      <c r="C4" s="211"/>
      <c r="D4" s="211"/>
      <c r="E4" s="211"/>
      <c r="F4" s="211"/>
      <c r="G4" s="211"/>
      <c r="H4" s="211"/>
      <c r="I4" s="211"/>
      <c r="J4" s="245"/>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50"/>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291" t="s">
        <v>94</v>
      </c>
      <c r="C6" s="287"/>
      <c r="D6" s="244"/>
      <c r="E6" s="296" t="s">
        <v>95</v>
      </c>
      <c r="F6" s="280"/>
      <c r="G6" s="280"/>
      <c r="H6" s="280"/>
      <c r="I6" s="262"/>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294" t="s">
        <v>96</v>
      </c>
      <c r="AP6" s="269"/>
      <c r="AQ6" s="269"/>
      <c r="AR6" s="269"/>
      <c r="AS6" s="269"/>
      <c r="AT6" s="270"/>
    </row>
    <row r="7" spans="2:46" ht="15" customHeight="1" x14ac:dyDescent="0.25">
      <c r="B7" s="288"/>
      <c r="C7" s="211"/>
      <c r="D7" s="212"/>
      <c r="E7" s="223"/>
      <c r="F7" s="211"/>
      <c r="G7" s="211"/>
      <c r="H7" s="211"/>
      <c r="I7" s="212"/>
      <c r="J7" s="21" t="str">
        <f>IF(AND('Mapa final'!$Y$21="Muy Alta",'Mapa final'!$AA$21="Leve"),CONCATENATE("R2C",'Mapa final'!$O$21),"")</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final'!$Y$22="Muy Alta",'Mapa final'!$AA$22="Leve"),CONCATENATE("R2C",'Mapa final'!$O$22),"")</f>
        <v/>
      </c>
      <c r="O7" s="23" t="str">
        <f>IF(AND('Mapa final'!$Y$23="Muy Alta",'Mapa final'!$AA$23="Leve"),CONCATENATE("R2C",'Mapa final'!$O$23),"")</f>
        <v/>
      </c>
      <c r="P7" s="21" t="str">
        <f>IF(AND('Mapa final'!$Y$21="Muy Alta",'Mapa final'!$AA$21="Menor"),CONCATENATE("R2C",'Mapa final'!$O$21),"")</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final'!$Y$22="Muy Alta",'Mapa final'!$AA$22="Menor"),CONCATENATE("R2C",'Mapa final'!$O$22),"")</f>
        <v/>
      </c>
      <c r="U7" s="23" t="str">
        <f>IF(AND('Mapa final'!$Y$23="Muy Alta",'Mapa final'!$AA$23="Menor"),CONCATENATE("R2C",'Mapa final'!$O$23),"")</f>
        <v/>
      </c>
      <c r="V7" s="21" t="str">
        <f>IF(AND('Mapa final'!$Y$21="Muy Alta",'Mapa final'!$AA$21="Moderado"),CONCATENATE("R2C",'Mapa final'!$O$21),"")</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final'!$Y$22="Muy Alta",'Mapa final'!$AA$22="Moderado"),CONCATENATE("R2C",'Mapa final'!$O$22),"")</f>
        <v/>
      </c>
      <c r="AA7" s="23" t="str">
        <f>IF(AND('Mapa final'!$Y$23="Muy Alta",'Mapa final'!$AA$23="Moderado"),CONCATENATE("R2C",'Mapa final'!$O$23),"")</f>
        <v/>
      </c>
      <c r="AB7" s="21" t="str">
        <f>IF(AND('Mapa final'!$Y$21="Muy Alta",'Mapa final'!$AA$21="Mayor"),CONCATENATE("R2C",'Mapa final'!$O$21),"")</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final'!$Y$22="Muy Alta",'Mapa final'!$AA$22="Mayor"),CONCATENATE("R2C",'Mapa final'!$O$22),"")</f>
        <v/>
      </c>
      <c r="AG7" s="23" t="str">
        <f>IF(AND('Mapa final'!$Y$23="Muy Alta",'Mapa final'!$AA$23="Mayor"),CONCATENATE("R2C",'Mapa final'!$O$23),"")</f>
        <v/>
      </c>
      <c r="AH7" s="24" t="str">
        <f>IF(AND('Mapa final'!$Y$21="Muy Alta",'Mapa final'!$AA$21="Catastrófico"),CONCATENATE("R2C",'Mapa final'!$O$21),"")</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final'!$Y$22="Muy Alta",'Mapa final'!$AA$22="Catastrófico"),CONCATENATE("R2C",'Mapa final'!$O$22),"")</f>
        <v/>
      </c>
      <c r="AM7" s="26" t="str">
        <f>IF(AND('Mapa final'!$Y$23="Muy Alta",'Mapa final'!$AA$23="Catastrófico"),CONCATENATE("R2C",'Mapa final'!$O$23),"")</f>
        <v/>
      </c>
      <c r="AN7" s="1"/>
      <c r="AO7" s="271"/>
      <c r="AP7" s="211"/>
      <c r="AQ7" s="211"/>
      <c r="AR7" s="211"/>
      <c r="AS7" s="211"/>
      <c r="AT7" s="272"/>
    </row>
    <row r="8" spans="2:46" ht="15" customHeight="1" x14ac:dyDescent="0.25">
      <c r="B8" s="288"/>
      <c r="C8" s="211"/>
      <c r="D8" s="212"/>
      <c r="E8" s="223"/>
      <c r="F8" s="211"/>
      <c r="G8" s="211"/>
      <c r="H8" s="211"/>
      <c r="I8" s="212"/>
      <c r="J8" s="21" t="str">
        <f>IF(AND('Mapa final'!$Y$26="Muy Alta",'Mapa final'!$AA$26="Leve"),CONCATENATE("R3C",'Mapa final'!$O$26),"")</f>
        <v/>
      </c>
      <c r="K8" s="22" t="str">
        <f>IF(AND('Mapa final'!$Y$27="Muy Alta",'Mapa final'!$AA$27="Leve"),CONCATENATE("R3C",'Mapa final'!$O$27),"")</f>
        <v/>
      </c>
      <c r="L8" s="22" t="str">
        <f>IF(AND('Mapa final'!$Y$28="Muy Alta",'Mapa final'!$AA$28="Leve"),CONCATENATE("R3C",'Mapa final'!$O$28),"")</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final'!$Y$26="Muy Alta",'Mapa final'!$AA$26="Menor"),CONCATENATE("R3C",'Mapa final'!$O$26),"")</f>
        <v/>
      </c>
      <c r="Q8" s="22" t="str">
        <f>IF(AND('Mapa final'!$Y$27="Muy Alta",'Mapa final'!$AA$27="Menor"),CONCATENATE("R3C",'Mapa final'!$O$27),"")</f>
        <v/>
      </c>
      <c r="R8" s="22" t="str">
        <f>IF(AND('Mapa final'!$Y$28="Muy Alta",'Mapa final'!$AA$28="Menor"),CONCATENATE("R3C",'Mapa final'!$O$28),"")</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final'!$Y$26="Muy Alta",'Mapa final'!$AA$26="Moderado"),CONCATENATE("R3C",'Mapa final'!$O$26),"")</f>
        <v/>
      </c>
      <c r="W8" s="22" t="str">
        <f>IF(AND('Mapa final'!$Y$27="Muy Alta",'Mapa final'!$AA$27="Moderado"),CONCATENATE("R3C",'Mapa final'!$O$27),"")</f>
        <v/>
      </c>
      <c r="X8" s="22" t="str">
        <f>IF(AND('Mapa final'!$Y$28="Muy Alta",'Mapa final'!$AA$28="Moderado"),CONCATENATE("R3C",'Mapa final'!$O$28),"")</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final'!$Y$26="Muy Alta",'Mapa final'!$AA$26="Mayor"),CONCATENATE("R3C",'Mapa final'!$O$26),"")</f>
        <v/>
      </c>
      <c r="AC8" s="22" t="str">
        <f>IF(AND('Mapa final'!$Y$27="Muy Alta",'Mapa final'!$AA$27="Mayor"),CONCATENATE("R3C",'Mapa final'!$O$27),"")</f>
        <v/>
      </c>
      <c r="AD8" s="22" t="str">
        <f>IF(AND('Mapa final'!$Y$28="Muy Alta",'Mapa final'!$AA$28="Mayor"),CONCATENATE("R3C",'Mapa final'!$O$28),"")</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final'!$Y$26="Muy Alta",'Mapa final'!$AA$26="Catastrófico"),CONCATENATE("R3C",'Mapa final'!$O$26),"")</f>
        <v/>
      </c>
      <c r="AI8" s="25" t="str">
        <f>IF(AND('Mapa final'!$Y$27="Muy Alta",'Mapa final'!$AA$27="Catastrófico"),CONCATENATE("R3C",'Mapa final'!$O$27),"")</f>
        <v/>
      </c>
      <c r="AJ8" s="25" t="str">
        <f>IF(AND('Mapa final'!$Y$28="Muy Alta",'Mapa final'!$AA$28="Catastrófico"),CONCATENATE("R3C",'Mapa final'!$O$28),"")</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71"/>
      <c r="AP8" s="211"/>
      <c r="AQ8" s="211"/>
      <c r="AR8" s="211"/>
      <c r="AS8" s="211"/>
      <c r="AT8" s="272"/>
    </row>
    <row r="9" spans="2:46" ht="15" customHeight="1" x14ac:dyDescent="0.25">
      <c r="B9" s="288"/>
      <c r="C9" s="211"/>
      <c r="D9" s="212"/>
      <c r="E9" s="223"/>
      <c r="F9" s="211"/>
      <c r="G9" s="211"/>
      <c r="H9" s="211"/>
      <c r="I9" s="212"/>
      <c r="J9" s="21" t="str">
        <f>IF(AND('Mapa final'!$Y$31="Muy Alta",'Mapa final'!$AA$31="Leve"),CONCATENATE("R4C",'Mapa final'!$O$31),"")</f>
        <v/>
      </c>
      <c r="K9" s="22" t="str">
        <f>IF(AND('Mapa final'!$Y$32="Muy Alta",'Mapa final'!$AA$32="Leve"),CONCATENATE("R4C",'Mapa final'!$O$32),"")</f>
        <v/>
      </c>
      <c r="L9" s="22" t="e">
        <f>IF(AND('Mapa final'!#REF!="Muy Alta",'Mapa final'!#REF!="Leve"),CONCATENATE("R4C",'Mapa final'!#REF!),"")</f>
        <v>#REF!</v>
      </c>
      <c r="M9" s="22" t="str">
        <f>IF(AND('Mapa final'!$Y$33="Muy Alta",'Mapa final'!$AA$33="Leve"),CONCATENATE("R4C",'Mapa final'!$O$33),"")</f>
        <v/>
      </c>
      <c r="N9" s="22" t="e">
        <f>IF(AND('Mapa final'!#REF!="Muy Alta",'Mapa final'!#REF!="Leve"),CONCATENATE("R4C",'Mapa final'!#REF!),"")</f>
        <v>#REF!</v>
      </c>
      <c r="O9" s="23" t="e">
        <f>IF(AND('Mapa final'!#REF!="Muy Alta",'Mapa final'!#REF!="Leve"),CONCATENATE("R4C",'Mapa final'!#REF!),"")</f>
        <v>#REF!</v>
      </c>
      <c r="P9" s="21" t="str">
        <f>IF(AND('Mapa final'!$Y$31="Muy Alta",'Mapa final'!$AA$31="Menor"),CONCATENATE("R4C",'Mapa final'!$O$31),"")</f>
        <v/>
      </c>
      <c r="Q9" s="22" t="str">
        <f>IF(AND('Mapa final'!$Y$32="Muy Alta",'Mapa final'!$AA$32="Menor"),CONCATENATE("R4C",'Mapa final'!$O$32),"")</f>
        <v/>
      </c>
      <c r="R9" s="22" t="e">
        <f>IF(AND('Mapa final'!#REF!="Muy Alta",'Mapa final'!#REF!="Menor"),CONCATENATE("R4C",'Mapa final'!#REF!),"")</f>
        <v>#REF!</v>
      </c>
      <c r="S9" s="22" t="str">
        <f>IF(AND('Mapa final'!$Y$33="Muy Alta",'Mapa final'!$AA$33="Menor"),CONCATENATE("R4C",'Mapa final'!$O$33),"")</f>
        <v/>
      </c>
      <c r="T9" s="22" t="e">
        <f>IF(AND('Mapa final'!#REF!="Muy Alta",'Mapa final'!#REF!="Menor"),CONCATENATE("R4C",'Mapa final'!#REF!),"")</f>
        <v>#REF!</v>
      </c>
      <c r="U9" s="23" t="e">
        <f>IF(AND('Mapa final'!#REF!="Muy Alta",'Mapa final'!#REF!="Menor"),CONCATENATE("R4C",'Mapa final'!#REF!),"")</f>
        <v>#REF!</v>
      </c>
      <c r="V9" s="21" t="str">
        <f>IF(AND('Mapa final'!$Y$31="Muy Alta",'Mapa final'!$AA$31="Moderado"),CONCATENATE("R4C",'Mapa final'!$O$31),"")</f>
        <v/>
      </c>
      <c r="W9" s="22" t="str">
        <f>IF(AND('Mapa final'!$Y$32="Muy Alta",'Mapa final'!$AA$32="Moderado"),CONCATENATE("R4C",'Mapa final'!$O$32),"")</f>
        <v/>
      </c>
      <c r="X9" s="22" t="e">
        <f>IF(AND('Mapa final'!#REF!="Muy Alta",'Mapa final'!#REF!="Moderado"),CONCATENATE("R4C",'Mapa final'!#REF!),"")</f>
        <v>#REF!</v>
      </c>
      <c r="Y9" s="22" t="str">
        <f>IF(AND('Mapa final'!$Y$33="Muy Alta",'Mapa final'!$AA$33="Moderado"),CONCATENATE("R4C",'Mapa final'!$O$33),"")</f>
        <v/>
      </c>
      <c r="Z9" s="22" t="e">
        <f>IF(AND('Mapa final'!#REF!="Muy Alta",'Mapa final'!#REF!="Moderado"),CONCATENATE("R4C",'Mapa final'!#REF!),"")</f>
        <v>#REF!</v>
      </c>
      <c r="AA9" s="23" t="e">
        <f>IF(AND('Mapa final'!#REF!="Muy Alta",'Mapa final'!#REF!="Moderado"),CONCATENATE("R4C",'Mapa final'!#REF!),"")</f>
        <v>#REF!</v>
      </c>
      <c r="AB9" s="21" t="str">
        <f>IF(AND('Mapa final'!$Y$31="Muy Alta",'Mapa final'!$AA$31="Mayor"),CONCATENATE("R4C",'Mapa final'!$O$31),"")</f>
        <v/>
      </c>
      <c r="AC9" s="22" t="str">
        <f>IF(AND('Mapa final'!$Y$32="Muy Alta",'Mapa final'!$AA$32="Mayor"),CONCATENATE("R4C",'Mapa final'!$O$32),"")</f>
        <v/>
      </c>
      <c r="AD9" s="22" t="e">
        <f>IF(AND('Mapa final'!#REF!="Muy Alta",'Mapa final'!#REF!="Mayor"),CONCATENATE("R4C",'Mapa final'!#REF!),"")</f>
        <v>#REF!</v>
      </c>
      <c r="AE9" s="22" t="str">
        <f>IF(AND('Mapa final'!$Y$33="Muy Alta",'Mapa final'!$AA$33="Mayor"),CONCATENATE("R4C",'Mapa final'!$O$33),"")</f>
        <v/>
      </c>
      <c r="AF9" s="22" t="e">
        <f>IF(AND('Mapa final'!#REF!="Muy Alta",'Mapa final'!#REF!="Mayor"),CONCATENATE("R4C",'Mapa final'!#REF!),"")</f>
        <v>#REF!</v>
      </c>
      <c r="AG9" s="23" t="e">
        <f>IF(AND('Mapa final'!#REF!="Muy Alta",'Mapa final'!#REF!="Mayor"),CONCATENATE("R4C",'Mapa final'!#REF!),"")</f>
        <v>#REF!</v>
      </c>
      <c r="AH9" s="24" t="str">
        <f>IF(AND('Mapa final'!$Y$31="Muy Alta",'Mapa final'!$AA$31="Catastrófico"),CONCATENATE("R4C",'Mapa final'!$O$31),"")</f>
        <v/>
      </c>
      <c r="AI9" s="25" t="str">
        <f>IF(AND('Mapa final'!$Y$32="Muy Alta",'Mapa final'!$AA$32="Catastrófico"),CONCATENATE("R4C",'Mapa final'!$O$32),"")</f>
        <v/>
      </c>
      <c r="AJ9" s="25" t="e">
        <f>IF(AND('Mapa final'!#REF!="Muy Alta",'Mapa final'!#REF!="Catastrófico"),CONCATENATE("R4C",'Mapa final'!#REF!),"")</f>
        <v>#REF!</v>
      </c>
      <c r="AK9" s="25" t="str">
        <f>IF(AND('Mapa final'!$Y$33="Muy Alta",'Mapa final'!$AA$33="Catastrófico"),CONCATENATE("R4C",'Mapa final'!$O$33),"")</f>
        <v/>
      </c>
      <c r="AL9" s="25" t="e">
        <f>IF(AND('Mapa final'!#REF!="Muy Alta",'Mapa final'!#REF!="Catastrófico"),CONCATENATE("R4C",'Mapa final'!#REF!),"")</f>
        <v>#REF!</v>
      </c>
      <c r="AM9" s="26" t="e">
        <f>IF(AND('Mapa final'!#REF!="Muy Alta",'Mapa final'!#REF!="Catastrófico"),CONCATENATE("R4C",'Mapa final'!#REF!),"")</f>
        <v>#REF!</v>
      </c>
      <c r="AN9" s="1"/>
      <c r="AO9" s="271"/>
      <c r="AP9" s="211"/>
      <c r="AQ9" s="211"/>
      <c r="AR9" s="211"/>
      <c r="AS9" s="211"/>
      <c r="AT9" s="272"/>
    </row>
    <row r="10" spans="2:46" ht="15" customHeight="1" x14ac:dyDescent="0.25">
      <c r="B10" s="288"/>
      <c r="C10" s="211"/>
      <c r="D10" s="212"/>
      <c r="E10" s="223"/>
      <c r="F10" s="211"/>
      <c r="G10" s="211"/>
      <c r="H10" s="211"/>
      <c r="I10" s="212"/>
      <c r="J10" s="21" t="str">
        <f>IF(AND('Mapa final'!$Y$36="Muy Alta",'Mapa final'!$AA$36="Leve"),CONCATENATE("R5C",'Mapa final'!$O$36),"")</f>
        <v/>
      </c>
      <c r="K10" s="22" t="str">
        <f>IF(AND('Mapa final'!$Y$37="Muy Alta",'Mapa final'!$AA$37="Leve"),CONCATENATE("R5C",'Mapa final'!$O$37),"")</f>
        <v/>
      </c>
      <c r="L10" s="22" t="str">
        <f>IF(AND('Mapa final'!$Y$38="Muy Alta",'Mapa final'!$AA$38="Leve"),CONCATENATE("R5C",'Mapa final'!$O$38),"")</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final'!$Y$36="Muy Alta",'Mapa final'!$AA$36="Menor"),CONCATENATE("R5C",'Mapa final'!$O$36),"")</f>
        <v/>
      </c>
      <c r="Q10" s="22" t="str">
        <f>IF(AND('Mapa final'!$Y$37="Muy Alta",'Mapa final'!$AA$37="Menor"),CONCATENATE("R5C",'Mapa final'!$O$37),"")</f>
        <v/>
      </c>
      <c r="R10" s="22" t="str">
        <f>IF(AND('Mapa final'!$Y$38="Muy Alta",'Mapa final'!$AA$38="Menor"),CONCATENATE("R5C",'Mapa final'!$O$38),"")</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final'!$Y$36="Muy Alta",'Mapa final'!$AA$36="Moderado"),CONCATENATE("R5C",'Mapa final'!$O$36),"")</f>
        <v/>
      </c>
      <c r="W10" s="22" t="str">
        <f>IF(AND('Mapa final'!$Y$37="Muy Alta",'Mapa final'!$AA$37="Moderado"),CONCATENATE("R5C",'Mapa final'!$O$37),"")</f>
        <v/>
      </c>
      <c r="X10" s="22" t="str">
        <f>IF(AND('Mapa final'!$Y$38="Muy Alta",'Mapa final'!$AA$38="Moderado"),CONCATENATE("R5C",'Mapa final'!$O$38),"")</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final'!$Y$36="Muy Alta",'Mapa final'!$AA$36="Mayor"),CONCATENATE("R5C",'Mapa final'!$O$36),"")</f>
        <v/>
      </c>
      <c r="AC10" s="22" t="str">
        <f>IF(AND('Mapa final'!$Y$37="Muy Alta",'Mapa final'!$AA$37="Mayor"),CONCATENATE("R5C",'Mapa final'!$O$37),"")</f>
        <v/>
      </c>
      <c r="AD10" s="22" t="str">
        <f>IF(AND('Mapa final'!$Y$38="Muy Alta",'Mapa final'!$AA$38="Mayor"),CONCATENATE("R5C",'Mapa final'!$O$38),"")</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final'!$Y$36="Muy Alta",'Mapa final'!$AA$36="Catastrófico"),CONCATENATE("R5C",'Mapa final'!$O$36),"")</f>
        <v/>
      </c>
      <c r="AI10" s="25" t="str">
        <f>IF(AND('Mapa final'!$Y$37="Muy Alta",'Mapa final'!$AA$37="Catastrófico"),CONCATENATE("R5C",'Mapa final'!$O$37),"")</f>
        <v/>
      </c>
      <c r="AJ10" s="25" t="str">
        <f>IF(AND('Mapa final'!$Y$38="Muy Alta",'Mapa final'!$AA$38="Catastrófico"),CONCATENATE("R5C",'Mapa final'!$O$38),"")</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71"/>
      <c r="AP10" s="211"/>
      <c r="AQ10" s="211"/>
      <c r="AR10" s="211"/>
      <c r="AS10" s="211"/>
      <c r="AT10" s="272"/>
    </row>
    <row r="11" spans="2:46" ht="15" customHeight="1" x14ac:dyDescent="0.25">
      <c r="B11" s="288"/>
      <c r="C11" s="211"/>
      <c r="D11" s="212"/>
      <c r="E11" s="223"/>
      <c r="F11" s="211"/>
      <c r="G11" s="211"/>
      <c r="H11" s="211"/>
      <c r="I11" s="212"/>
      <c r="J11" s="21" t="str">
        <f>IF(AND('Mapa final'!$Y$41="Muy Alta",'Mapa final'!$AA$41="Leve"),CONCATENATE("R6C",'Mapa final'!$O$41),"")</f>
        <v/>
      </c>
      <c r="K11" s="22" t="str">
        <f>IF(AND('Mapa final'!$Y$42="Muy Alta",'Mapa final'!$AA$42="Leve"),CONCATENATE("R6C",'Mapa final'!$O$42),"")</f>
        <v/>
      </c>
      <c r="L11" s="22" t="str">
        <f>IF(AND('Mapa final'!$Y$43="Muy Alta",'Mapa final'!$AA$43="Leve"),CONCATENATE("R6C",'Mapa final'!$O$43),"")</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final'!$Y$41="Muy Alta",'Mapa final'!$AA$41="Menor"),CONCATENATE("R6C",'Mapa final'!$O$41),"")</f>
        <v/>
      </c>
      <c r="Q11" s="22" t="str">
        <f>IF(AND('Mapa final'!$Y$42="Muy Alta",'Mapa final'!$AA$42="Menor"),CONCATENATE("R6C",'Mapa final'!$O$42),"")</f>
        <v/>
      </c>
      <c r="R11" s="22" t="str">
        <f>IF(AND('Mapa final'!$Y$43="Muy Alta",'Mapa final'!$AA$43="Menor"),CONCATENATE("R6C",'Mapa final'!$O$43),"")</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final'!$Y$41="Muy Alta",'Mapa final'!$AA$41="Moderado"),CONCATENATE("R6C",'Mapa final'!$O$41),"")</f>
        <v/>
      </c>
      <c r="W11" s="22" t="str">
        <f>IF(AND('Mapa final'!$Y$42="Muy Alta",'Mapa final'!$AA$42="Moderado"),CONCATENATE("R6C",'Mapa final'!$O$42),"")</f>
        <v/>
      </c>
      <c r="X11" s="22" t="str">
        <f>IF(AND('Mapa final'!$Y$43="Muy Alta",'Mapa final'!$AA$43="Moderado"),CONCATENATE("R6C",'Mapa final'!$O$43),"")</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final'!$Y$41="Muy Alta",'Mapa final'!$AA$41="Mayor"),CONCATENATE("R6C",'Mapa final'!$O$41),"")</f>
        <v/>
      </c>
      <c r="AC11" s="22" t="str">
        <f>IF(AND('Mapa final'!$Y$42="Muy Alta",'Mapa final'!$AA$42="Mayor"),CONCATENATE("R6C",'Mapa final'!$O$42),"")</f>
        <v/>
      </c>
      <c r="AD11" s="22" t="str">
        <f>IF(AND('Mapa final'!$Y$43="Muy Alta",'Mapa final'!$AA$43="Mayor"),CONCATENATE("R6C",'Mapa final'!$O$43),"")</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final'!$Y$41="Muy Alta",'Mapa final'!$AA$41="Catastrófico"),CONCATENATE("R6C",'Mapa final'!$O$41),"")</f>
        <v/>
      </c>
      <c r="AI11" s="25" t="str">
        <f>IF(AND('Mapa final'!$Y$42="Muy Alta",'Mapa final'!$AA$42="Catastrófico"),CONCATENATE("R6C",'Mapa final'!$O$42),"")</f>
        <v/>
      </c>
      <c r="AJ11" s="25" t="str">
        <f>IF(AND('Mapa final'!$Y$43="Muy Alta",'Mapa final'!$AA$43="Catastrófico"),CONCATENATE("R6C",'Mapa final'!$O$43),"")</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71"/>
      <c r="AP11" s="211"/>
      <c r="AQ11" s="211"/>
      <c r="AR11" s="211"/>
      <c r="AS11" s="211"/>
      <c r="AT11" s="272"/>
    </row>
    <row r="12" spans="2:46" ht="15" customHeight="1" x14ac:dyDescent="0.25">
      <c r="B12" s="288"/>
      <c r="C12" s="211"/>
      <c r="D12" s="212"/>
      <c r="E12" s="223"/>
      <c r="F12" s="211"/>
      <c r="G12" s="211"/>
      <c r="H12" s="211"/>
      <c r="I12" s="212"/>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71"/>
      <c r="AP12" s="211"/>
      <c r="AQ12" s="211"/>
      <c r="AR12" s="211"/>
      <c r="AS12" s="211"/>
      <c r="AT12" s="272"/>
    </row>
    <row r="13" spans="2:46" ht="15" customHeight="1" x14ac:dyDescent="0.25">
      <c r="B13" s="288"/>
      <c r="C13" s="211"/>
      <c r="D13" s="212"/>
      <c r="E13" s="223"/>
      <c r="F13" s="211"/>
      <c r="G13" s="211"/>
      <c r="H13" s="211"/>
      <c r="I13" s="212"/>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71"/>
      <c r="AP13" s="211"/>
      <c r="AQ13" s="211"/>
      <c r="AR13" s="211"/>
      <c r="AS13" s="211"/>
      <c r="AT13" s="272"/>
    </row>
    <row r="14" spans="2:46" ht="15" customHeight="1" x14ac:dyDescent="0.25">
      <c r="B14" s="288"/>
      <c r="C14" s="211"/>
      <c r="D14" s="212"/>
      <c r="E14" s="223"/>
      <c r="F14" s="211"/>
      <c r="G14" s="211"/>
      <c r="H14" s="211"/>
      <c r="I14" s="212"/>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71"/>
      <c r="AP14" s="211"/>
      <c r="AQ14" s="211"/>
      <c r="AR14" s="211"/>
      <c r="AS14" s="211"/>
      <c r="AT14" s="272"/>
    </row>
    <row r="15" spans="2:46" ht="15.75" customHeight="1" x14ac:dyDescent="0.25">
      <c r="B15" s="288"/>
      <c r="C15" s="211"/>
      <c r="D15" s="212"/>
      <c r="E15" s="257"/>
      <c r="F15" s="281"/>
      <c r="G15" s="281"/>
      <c r="H15" s="281"/>
      <c r="I15" s="260"/>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73"/>
      <c r="AP15" s="274"/>
      <c r="AQ15" s="274"/>
      <c r="AR15" s="274"/>
      <c r="AS15" s="274"/>
      <c r="AT15" s="275"/>
    </row>
    <row r="16" spans="2:46" ht="15" customHeight="1" x14ac:dyDescent="0.25">
      <c r="B16" s="288"/>
      <c r="C16" s="211"/>
      <c r="D16" s="212"/>
      <c r="E16" s="296" t="s">
        <v>97</v>
      </c>
      <c r="F16" s="280"/>
      <c r="G16" s="280"/>
      <c r="H16" s="280"/>
      <c r="I16" s="280"/>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92" t="s">
        <v>98</v>
      </c>
      <c r="AP16" s="269"/>
      <c r="AQ16" s="269"/>
      <c r="AR16" s="269"/>
      <c r="AS16" s="269"/>
      <c r="AT16" s="270"/>
    </row>
    <row r="17" spans="2:46" ht="15" customHeight="1" x14ac:dyDescent="0.25">
      <c r="B17" s="288"/>
      <c r="C17" s="211"/>
      <c r="D17" s="212"/>
      <c r="E17" s="223"/>
      <c r="F17" s="211"/>
      <c r="G17" s="211"/>
      <c r="H17" s="211"/>
      <c r="I17" s="211"/>
      <c r="J17" s="36" t="str">
        <f>IF(AND('Mapa final'!$Y$21="Alta",'Mapa final'!$AA$21="Leve"),CONCATENATE("R2C",'Mapa final'!$O$21),"")</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final'!$Y$22="Alta",'Mapa final'!$AA$22="Leve"),CONCATENATE("R2C",'Mapa final'!$O$22),"")</f>
        <v/>
      </c>
      <c r="O17" s="38" t="str">
        <f>IF(AND('Mapa final'!$Y$23="Alta",'Mapa final'!$AA$23="Leve"),CONCATENATE("R2C",'Mapa final'!$O$23),"")</f>
        <v/>
      </c>
      <c r="P17" s="36" t="str">
        <f>IF(AND('Mapa final'!$Y$21="Alta",'Mapa final'!$AA$21="Menor"),CONCATENATE("R2C",'Mapa final'!$O$21),"")</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final'!$Y$22="Alta",'Mapa final'!$AA$22="Menor"),CONCATENATE("R2C",'Mapa final'!$O$22),"")</f>
        <v/>
      </c>
      <c r="U17" s="38" t="str">
        <f>IF(AND('Mapa final'!$Y$23="Alta",'Mapa final'!$AA$23="Menor"),CONCATENATE("R2C",'Mapa final'!$O$23),"")</f>
        <v/>
      </c>
      <c r="V17" s="21" t="str">
        <f>IF(AND('Mapa final'!$Y$21="Alta",'Mapa final'!$AA$21="Moderado"),CONCATENATE("R2C",'Mapa final'!$O$21),"")</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final'!$Y$22="Alta",'Mapa final'!$AA$22="Moderado"),CONCATENATE("R2C",'Mapa final'!$O$22),"")</f>
        <v/>
      </c>
      <c r="AA17" s="23" t="str">
        <f>IF(AND('Mapa final'!$Y$23="Alta",'Mapa final'!$AA$23="Moderado"),CONCATENATE("R2C",'Mapa final'!$O$23),"")</f>
        <v/>
      </c>
      <c r="AB17" s="21" t="str">
        <f>IF(AND('Mapa final'!$Y$21="Alta",'Mapa final'!$AA$21="Mayor"),CONCATENATE("R2C",'Mapa final'!$O$21),"")</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final'!$Y$22="Alta",'Mapa final'!$AA$22="Mayor"),CONCATENATE("R2C",'Mapa final'!$O$22),"")</f>
        <v/>
      </c>
      <c r="AG17" s="23" t="str">
        <f>IF(AND('Mapa final'!$Y$23="Alta",'Mapa final'!$AA$23="Mayor"),CONCATENATE("R2C",'Mapa final'!$O$23),"")</f>
        <v/>
      </c>
      <c r="AH17" s="24" t="str">
        <f>IF(AND('Mapa final'!$Y$21="Alta",'Mapa final'!$AA$21="Catastrófico"),CONCATENATE("R2C",'Mapa final'!$O$21),"")</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final'!$Y$22="Alta",'Mapa final'!$AA$22="Catastrófico"),CONCATENATE("R2C",'Mapa final'!$O$22),"")</f>
        <v/>
      </c>
      <c r="AM17" s="26" t="str">
        <f>IF(AND('Mapa final'!$Y$23="Alta",'Mapa final'!$AA$23="Catastrófico"),CONCATENATE("R2C",'Mapa final'!$O$23),"")</f>
        <v/>
      </c>
      <c r="AN17" s="1"/>
      <c r="AO17" s="271"/>
      <c r="AP17" s="211"/>
      <c r="AQ17" s="211"/>
      <c r="AR17" s="211"/>
      <c r="AS17" s="211"/>
      <c r="AT17" s="272"/>
    </row>
    <row r="18" spans="2:46" ht="15" customHeight="1" x14ac:dyDescent="0.25">
      <c r="B18" s="288"/>
      <c r="C18" s="211"/>
      <c r="D18" s="212"/>
      <c r="E18" s="223"/>
      <c r="F18" s="211"/>
      <c r="G18" s="211"/>
      <c r="H18" s="211"/>
      <c r="I18" s="211"/>
      <c r="J18" s="36" t="str">
        <f>IF(AND('Mapa final'!$Y$26="Alta",'Mapa final'!$AA$26="Leve"),CONCATENATE("R3C",'Mapa final'!$O$26),"")</f>
        <v/>
      </c>
      <c r="K18" s="37" t="str">
        <f>IF(AND('Mapa final'!$Y$27="Alta",'Mapa final'!$AA$27="Leve"),CONCATENATE("R3C",'Mapa final'!$O$27),"")</f>
        <v/>
      </c>
      <c r="L18" s="37" t="str">
        <f>IF(AND('Mapa final'!$Y$28="Alta",'Mapa final'!$AA$28="Leve"),CONCATENATE("R3C",'Mapa final'!$O$28),"")</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final'!$Y$26="Alta",'Mapa final'!$AA$26="Menor"),CONCATENATE("R3C",'Mapa final'!$O$26),"")</f>
        <v/>
      </c>
      <c r="Q18" s="37" t="str">
        <f>IF(AND('Mapa final'!$Y$27="Alta",'Mapa final'!$AA$27="Menor"),CONCATENATE("R3C",'Mapa final'!$O$27),"")</f>
        <v/>
      </c>
      <c r="R18" s="37" t="str">
        <f>IF(AND('Mapa final'!$Y$28="Alta",'Mapa final'!$AA$28="Menor"),CONCATENATE("R3C",'Mapa final'!$O$28),"")</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final'!$Y$26="Alta",'Mapa final'!$AA$26="Moderado"),CONCATENATE("R3C",'Mapa final'!$O$26),"")</f>
        <v/>
      </c>
      <c r="W18" s="22" t="str">
        <f>IF(AND('Mapa final'!$Y$27="Alta",'Mapa final'!$AA$27="Moderado"),CONCATENATE("R3C",'Mapa final'!$O$27),"")</f>
        <v/>
      </c>
      <c r="X18" s="22" t="str">
        <f>IF(AND('Mapa final'!$Y$28="Alta",'Mapa final'!$AA$28="Moderado"),CONCATENATE("R3C",'Mapa final'!$O$28),"")</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final'!$Y$26="Alta",'Mapa final'!$AA$26="Mayor"),CONCATENATE("R3C",'Mapa final'!$O$26),"")</f>
        <v/>
      </c>
      <c r="AC18" s="22" t="str">
        <f>IF(AND('Mapa final'!$Y$27="Alta",'Mapa final'!$AA$27="Mayor"),CONCATENATE("R3C",'Mapa final'!$O$27),"")</f>
        <v/>
      </c>
      <c r="AD18" s="22" t="str">
        <f>IF(AND('Mapa final'!$Y$28="Alta",'Mapa final'!$AA$28="Mayor"),CONCATENATE("R3C",'Mapa final'!$O$28),"")</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final'!$Y$26="Alta",'Mapa final'!$AA$26="Catastrófico"),CONCATENATE("R3C",'Mapa final'!$O$26),"")</f>
        <v/>
      </c>
      <c r="AI18" s="25" t="str">
        <f>IF(AND('Mapa final'!$Y$27="Alta",'Mapa final'!$AA$27="Catastrófico"),CONCATENATE("R3C",'Mapa final'!$O$27),"")</f>
        <v/>
      </c>
      <c r="AJ18" s="25" t="str">
        <f>IF(AND('Mapa final'!$Y$28="Alta",'Mapa final'!$AA$28="Catastrófico"),CONCATENATE("R3C",'Mapa final'!$O$28),"")</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71"/>
      <c r="AP18" s="211"/>
      <c r="AQ18" s="211"/>
      <c r="AR18" s="211"/>
      <c r="AS18" s="211"/>
      <c r="AT18" s="272"/>
    </row>
    <row r="19" spans="2:46" ht="15" customHeight="1" x14ac:dyDescent="0.25">
      <c r="B19" s="288"/>
      <c r="C19" s="211"/>
      <c r="D19" s="212"/>
      <c r="E19" s="223"/>
      <c r="F19" s="211"/>
      <c r="G19" s="211"/>
      <c r="H19" s="211"/>
      <c r="I19" s="211"/>
      <c r="J19" s="36" t="str">
        <f>IF(AND('Mapa final'!$Y$31="Alta",'Mapa final'!$AA$31="Leve"),CONCATENATE("R4C",'Mapa final'!$O$31),"")</f>
        <v/>
      </c>
      <c r="K19" s="37" t="str">
        <f>IF(AND('Mapa final'!$Y$32="Alta",'Mapa final'!$AA$32="Leve"),CONCATENATE("R4C",'Mapa final'!$O$32),"")</f>
        <v/>
      </c>
      <c r="L19" s="37" t="e">
        <f>IF(AND('Mapa final'!#REF!="Alta",'Mapa final'!#REF!="Leve"),CONCATENATE("R4C",'Mapa final'!#REF!),"")</f>
        <v>#REF!</v>
      </c>
      <c r="M19" s="37" t="str">
        <f>IF(AND('Mapa final'!$Y$33="Alta",'Mapa final'!$AA$33="Leve"),CONCATENATE("R4C",'Mapa final'!$O$33),"")</f>
        <v/>
      </c>
      <c r="N19" s="37" t="e">
        <f>IF(AND('Mapa final'!#REF!="Alta",'Mapa final'!#REF!="Leve"),CONCATENATE("R4C",'Mapa final'!#REF!),"")</f>
        <v>#REF!</v>
      </c>
      <c r="O19" s="38" t="e">
        <f>IF(AND('Mapa final'!#REF!="Alta",'Mapa final'!#REF!="Leve"),CONCATENATE("R4C",'Mapa final'!#REF!),"")</f>
        <v>#REF!</v>
      </c>
      <c r="P19" s="36" t="str">
        <f>IF(AND('Mapa final'!$Y$31="Alta",'Mapa final'!$AA$31="Menor"),CONCATENATE("R4C",'Mapa final'!$O$31),"")</f>
        <v/>
      </c>
      <c r="Q19" s="37" t="str">
        <f>IF(AND('Mapa final'!$Y$32="Alta",'Mapa final'!$AA$32="Menor"),CONCATENATE("R4C",'Mapa final'!$O$32),"")</f>
        <v/>
      </c>
      <c r="R19" s="37" t="e">
        <f>IF(AND('Mapa final'!#REF!="Alta",'Mapa final'!#REF!="Menor"),CONCATENATE("R4C",'Mapa final'!#REF!),"")</f>
        <v>#REF!</v>
      </c>
      <c r="S19" s="37" t="str">
        <f>IF(AND('Mapa final'!$Y$33="Alta",'Mapa final'!$AA$33="Menor"),CONCATENATE("R4C",'Mapa final'!$O$33),"")</f>
        <v/>
      </c>
      <c r="T19" s="37" t="e">
        <f>IF(AND('Mapa final'!#REF!="Alta",'Mapa final'!#REF!="Menor"),CONCATENATE("R4C",'Mapa final'!#REF!),"")</f>
        <v>#REF!</v>
      </c>
      <c r="U19" s="38" t="e">
        <f>IF(AND('Mapa final'!#REF!="Alta",'Mapa final'!#REF!="Menor"),CONCATENATE("R4C",'Mapa final'!#REF!),"")</f>
        <v>#REF!</v>
      </c>
      <c r="V19" s="21" t="str">
        <f>IF(AND('Mapa final'!$Y$31="Alta",'Mapa final'!$AA$31="Moderado"),CONCATENATE("R4C",'Mapa final'!$O$31),"")</f>
        <v/>
      </c>
      <c r="W19" s="22" t="str">
        <f>IF(AND('Mapa final'!$Y$32="Alta",'Mapa final'!$AA$32="Moderado"),CONCATENATE("R4C",'Mapa final'!$O$32),"")</f>
        <v/>
      </c>
      <c r="X19" s="22" t="e">
        <f>IF(AND('Mapa final'!#REF!="Alta",'Mapa final'!#REF!="Moderado"),CONCATENATE("R4C",'Mapa final'!#REF!),"")</f>
        <v>#REF!</v>
      </c>
      <c r="Y19" s="22" t="str">
        <f>IF(AND('Mapa final'!$Y$33="Alta",'Mapa final'!$AA$33="Moderado"),CONCATENATE("R4C",'Mapa final'!$O$33),"")</f>
        <v/>
      </c>
      <c r="Z19" s="22" t="e">
        <f>IF(AND('Mapa final'!#REF!="Alta",'Mapa final'!#REF!="Moderado"),CONCATENATE("R4C",'Mapa final'!#REF!),"")</f>
        <v>#REF!</v>
      </c>
      <c r="AA19" s="23" t="e">
        <f>IF(AND('Mapa final'!#REF!="Alta",'Mapa final'!#REF!="Moderado"),CONCATENATE("R4C",'Mapa final'!#REF!),"")</f>
        <v>#REF!</v>
      </c>
      <c r="AB19" s="21" t="str">
        <f>IF(AND('Mapa final'!$Y$31="Alta",'Mapa final'!$AA$31="Mayor"),CONCATENATE("R4C",'Mapa final'!$O$31),"")</f>
        <v/>
      </c>
      <c r="AC19" s="22" t="str">
        <f>IF(AND('Mapa final'!$Y$32="Alta",'Mapa final'!$AA$32="Mayor"),CONCATENATE("R4C",'Mapa final'!$O$32),"")</f>
        <v/>
      </c>
      <c r="AD19" s="22" t="e">
        <f>IF(AND('Mapa final'!#REF!="Alta",'Mapa final'!#REF!="Mayor"),CONCATENATE("R4C",'Mapa final'!#REF!),"")</f>
        <v>#REF!</v>
      </c>
      <c r="AE19" s="22" t="str">
        <f>IF(AND('Mapa final'!$Y$33="Alta",'Mapa final'!$AA$33="Mayor"),CONCATENATE("R4C",'Mapa final'!$O$33),"")</f>
        <v/>
      </c>
      <c r="AF19" s="22" t="e">
        <f>IF(AND('Mapa final'!#REF!="Alta",'Mapa final'!#REF!="Mayor"),CONCATENATE("R4C",'Mapa final'!#REF!),"")</f>
        <v>#REF!</v>
      </c>
      <c r="AG19" s="23" t="e">
        <f>IF(AND('Mapa final'!#REF!="Alta",'Mapa final'!#REF!="Mayor"),CONCATENATE("R4C",'Mapa final'!#REF!),"")</f>
        <v>#REF!</v>
      </c>
      <c r="AH19" s="24" t="str">
        <f>IF(AND('Mapa final'!$Y$31="Alta",'Mapa final'!$AA$31="Catastrófico"),CONCATENATE("R4C",'Mapa final'!$O$31),"")</f>
        <v/>
      </c>
      <c r="AI19" s="25" t="str">
        <f>IF(AND('Mapa final'!$Y$32="Alta",'Mapa final'!$AA$32="Catastrófico"),CONCATENATE("R4C",'Mapa final'!$O$32),"")</f>
        <v/>
      </c>
      <c r="AJ19" s="25" t="e">
        <f>IF(AND('Mapa final'!#REF!="Alta",'Mapa final'!#REF!="Catastrófico"),CONCATENATE("R4C",'Mapa final'!#REF!),"")</f>
        <v>#REF!</v>
      </c>
      <c r="AK19" s="25" t="str">
        <f>IF(AND('Mapa final'!$Y$33="Alta",'Mapa final'!$AA$33="Catastrófico"),CONCATENATE("R4C",'Mapa final'!$O$33),"")</f>
        <v/>
      </c>
      <c r="AL19" s="25" t="e">
        <f>IF(AND('Mapa final'!#REF!="Alta",'Mapa final'!#REF!="Catastrófico"),CONCATENATE("R4C",'Mapa final'!#REF!),"")</f>
        <v>#REF!</v>
      </c>
      <c r="AM19" s="26" t="e">
        <f>IF(AND('Mapa final'!#REF!="Alta",'Mapa final'!#REF!="Catastrófico"),CONCATENATE("R4C",'Mapa final'!#REF!),"")</f>
        <v>#REF!</v>
      </c>
      <c r="AN19" s="1"/>
      <c r="AO19" s="271"/>
      <c r="AP19" s="211"/>
      <c r="AQ19" s="211"/>
      <c r="AR19" s="211"/>
      <c r="AS19" s="211"/>
      <c r="AT19" s="272"/>
    </row>
    <row r="20" spans="2:46" ht="15" customHeight="1" x14ac:dyDescent="0.25">
      <c r="B20" s="288"/>
      <c r="C20" s="211"/>
      <c r="D20" s="212"/>
      <c r="E20" s="223"/>
      <c r="F20" s="211"/>
      <c r="G20" s="211"/>
      <c r="H20" s="211"/>
      <c r="I20" s="211"/>
      <c r="J20" s="36" t="str">
        <f>IF(AND('Mapa final'!$Y$36="Alta",'Mapa final'!$AA$36="Leve"),CONCATENATE("R5C",'Mapa final'!$O$36),"")</f>
        <v/>
      </c>
      <c r="K20" s="37" t="str">
        <f>IF(AND('Mapa final'!$Y$37="Alta",'Mapa final'!$AA$37="Leve"),CONCATENATE("R5C",'Mapa final'!$O$37),"")</f>
        <v/>
      </c>
      <c r="L20" s="37" t="str">
        <f>IF(AND('Mapa final'!$Y$38="Alta",'Mapa final'!$AA$38="Leve"),CONCATENATE("R5C",'Mapa final'!$O$38),"")</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final'!$Y$36="Alta",'Mapa final'!$AA$36="Menor"),CONCATENATE("R5C",'Mapa final'!$O$36),"")</f>
        <v/>
      </c>
      <c r="Q20" s="37" t="str">
        <f>IF(AND('Mapa final'!$Y$37="Alta",'Mapa final'!$AA$37="Menor"),CONCATENATE("R5C",'Mapa final'!$O$37),"")</f>
        <v/>
      </c>
      <c r="R20" s="37" t="str">
        <f>IF(AND('Mapa final'!$Y$38="Alta",'Mapa final'!$AA$38="Menor"),CONCATENATE("R5C",'Mapa final'!$O$38),"")</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final'!$Y$36="Alta",'Mapa final'!$AA$36="Moderado"),CONCATENATE("R5C",'Mapa final'!$O$36),"")</f>
        <v/>
      </c>
      <c r="W20" s="22" t="str">
        <f>IF(AND('Mapa final'!$Y$37="Alta",'Mapa final'!$AA$37="Moderado"),CONCATENATE("R5C",'Mapa final'!$O$37),"")</f>
        <v/>
      </c>
      <c r="X20" s="22" t="str">
        <f>IF(AND('Mapa final'!$Y$38="Alta",'Mapa final'!$AA$38="Moderado"),CONCATENATE("R5C",'Mapa final'!$O$38),"")</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final'!$Y$36="Alta",'Mapa final'!$AA$36="Mayor"),CONCATENATE("R5C",'Mapa final'!$O$36),"")</f>
        <v/>
      </c>
      <c r="AC20" s="22" t="str">
        <f>IF(AND('Mapa final'!$Y$37="Alta",'Mapa final'!$AA$37="Mayor"),CONCATENATE("R5C",'Mapa final'!$O$37),"")</f>
        <v/>
      </c>
      <c r="AD20" s="22" t="str">
        <f>IF(AND('Mapa final'!$Y$38="Alta",'Mapa final'!$AA$38="Mayor"),CONCATENATE("R5C",'Mapa final'!$O$38),"")</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final'!$Y$36="Alta",'Mapa final'!$AA$36="Catastrófico"),CONCATENATE("R5C",'Mapa final'!$O$36),"")</f>
        <v/>
      </c>
      <c r="AI20" s="25" t="str">
        <f>IF(AND('Mapa final'!$Y$37="Alta",'Mapa final'!$AA$37="Catastrófico"),CONCATENATE("R5C",'Mapa final'!$O$37),"")</f>
        <v/>
      </c>
      <c r="AJ20" s="25" t="str">
        <f>IF(AND('Mapa final'!$Y$38="Alta",'Mapa final'!$AA$38="Catastrófico"),CONCATENATE("R5C",'Mapa final'!$O$38),"")</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71"/>
      <c r="AP20" s="211"/>
      <c r="AQ20" s="211"/>
      <c r="AR20" s="211"/>
      <c r="AS20" s="211"/>
      <c r="AT20" s="272"/>
    </row>
    <row r="21" spans="2:46" ht="15" customHeight="1" x14ac:dyDescent="0.25">
      <c r="B21" s="288"/>
      <c r="C21" s="211"/>
      <c r="D21" s="212"/>
      <c r="E21" s="223"/>
      <c r="F21" s="211"/>
      <c r="G21" s="211"/>
      <c r="H21" s="211"/>
      <c r="I21" s="211"/>
      <c r="J21" s="36" t="str">
        <f>IF(AND('Mapa final'!$Y$41="Alta",'Mapa final'!$AA$41="Leve"),CONCATENATE("R6C",'Mapa final'!$O$41),"")</f>
        <v/>
      </c>
      <c r="K21" s="37" t="str">
        <f>IF(AND('Mapa final'!$Y$42="Alta",'Mapa final'!$AA$42="Leve"),CONCATENATE("R6C",'Mapa final'!$O$42),"")</f>
        <v/>
      </c>
      <c r="L21" s="37" t="str">
        <f>IF(AND('Mapa final'!$Y$43="Alta",'Mapa final'!$AA$43="Leve"),CONCATENATE("R6C",'Mapa final'!$O$43),"")</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final'!$Y$41="Alta",'Mapa final'!$AA$41="Menor"),CONCATENATE("R6C",'Mapa final'!$O$41),"")</f>
        <v/>
      </c>
      <c r="Q21" s="37" t="str">
        <f>IF(AND('Mapa final'!$Y$42="Alta",'Mapa final'!$AA$42="Menor"),CONCATENATE("R6C",'Mapa final'!$O$42),"")</f>
        <v/>
      </c>
      <c r="R21" s="37" t="str">
        <f>IF(AND('Mapa final'!$Y$43="Alta",'Mapa final'!$AA$43="Menor"),CONCATENATE("R6C",'Mapa final'!$O$43),"")</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final'!$Y$41="Alta",'Mapa final'!$AA$41="Moderado"),CONCATENATE("R6C",'Mapa final'!$O$41),"")</f>
        <v/>
      </c>
      <c r="W21" s="22" t="str">
        <f>IF(AND('Mapa final'!$Y$42="Alta",'Mapa final'!$AA$42="Moderado"),CONCATENATE("R6C",'Mapa final'!$O$42),"")</f>
        <v/>
      </c>
      <c r="X21" s="22" t="str">
        <f>IF(AND('Mapa final'!$Y$43="Alta",'Mapa final'!$AA$43="Moderado"),CONCATENATE("R6C",'Mapa final'!$O$43),"")</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final'!$Y$41="Alta",'Mapa final'!$AA$41="Mayor"),CONCATENATE("R6C",'Mapa final'!$O$41),"")</f>
        <v/>
      </c>
      <c r="AC21" s="22" t="str">
        <f>IF(AND('Mapa final'!$Y$42="Alta",'Mapa final'!$AA$42="Mayor"),CONCATENATE("R6C",'Mapa final'!$O$42),"")</f>
        <v/>
      </c>
      <c r="AD21" s="22" t="str">
        <f>IF(AND('Mapa final'!$Y$43="Alta",'Mapa final'!$AA$43="Mayor"),CONCATENATE("R6C",'Mapa final'!$O$43),"")</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final'!$Y$41="Alta",'Mapa final'!$AA$41="Catastrófico"),CONCATENATE("R6C",'Mapa final'!$O$41),"")</f>
        <v/>
      </c>
      <c r="AI21" s="25" t="str">
        <f>IF(AND('Mapa final'!$Y$42="Alta",'Mapa final'!$AA$42="Catastrófico"),CONCATENATE("R6C",'Mapa final'!$O$42),"")</f>
        <v/>
      </c>
      <c r="AJ21" s="25" t="str">
        <f>IF(AND('Mapa final'!$Y$43="Alta",'Mapa final'!$AA$43="Catastrófico"),CONCATENATE("R6C",'Mapa final'!$O$43),"")</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71"/>
      <c r="AP21" s="211"/>
      <c r="AQ21" s="211"/>
      <c r="AR21" s="211"/>
      <c r="AS21" s="211"/>
      <c r="AT21" s="272"/>
    </row>
    <row r="22" spans="2:46" ht="15" customHeight="1" x14ac:dyDescent="0.25">
      <c r="B22" s="288"/>
      <c r="C22" s="211"/>
      <c r="D22" s="212"/>
      <c r="E22" s="223"/>
      <c r="F22" s="211"/>
      <c r="G22" s="211"/>
      <c r="H22" s="211"/>
      <c r="I22" s="211"/>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71"/>
      <c r="AP22" s="211"/>
      <c r="AQ22" s="211"/>
      <c r="AR22" s="211"/>
      <c r="AS22" s="211"/>
      <c r="AT22" s="272"/>
    </row>
    <row r="23" spans="2:46" ht="15" customHeight="1" x14ac:dyDescent="0.25">
      <c r="B23" s="288"/>
      <c r="C23" s="211"/>
      <c r="D23" s="212"/>
      <c r="E23" s="223"/>
      <c r="F23" s="211"/>
      <c r="G23" s="211"/>
      <c r="H23" s="211"/>
      <c r="I23" s="211"/>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71"/>
      <c r="AP23" s="211"/>
      <c r="AQ23" s="211"/>
      <c r="AR23" s="211"/>
      <c r="AS23" s="211"/>
      <c r="AT23" s="272"/>
    </row>
    <row r="24" spans="2:46" ht="15" customHeight="1" x14ac:dyDescent="0.25">
      <c r="B24" s="288"/>
      <c r="C24" s="211"/>
      <c r="D24" s="212"/>
      <c r="E24" s="223"/>
      <c r="F24" s="211"/>
      <c r="G24" s="211"/>
      <c r="H24" s="211"/>
      <c r="I24" s="211"/>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71"/>
      <c r="AP24" s="211"/>
      <c r="AQ24" s="211"/>
      <c r="AR24" s="211"/>
      <c r="AS24" s="211"/>
      <c r="AT24" s="272"/>
    </row>
    <row r="25" spans="2:46" ht="15.75" customHeight="1" x14ac:dyDescent="0.25">
      <c r="B25" s="288"/>
      <c r="C25" s="211"/>
      <c r="D25" s="212"/>
      <c r="E25" s="257"/>
      <c r="F25" s="281"/>
      <c r="G25" s="281"/>
      <c r="H25" s="281"/>
      <c r="I25" s="281"/>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73"/>
      <c r="AP25" s="274"/>
      <c r="AQ25" s="274"/>
      <c r="AR25" s="274"/>
      <c r="AS25" s="274"/>
      <c r="AT25" s="275"/>
    </row>
    <row r="26" spans="2:46" ht="15" customHeight="1" x14ac:dyDescent="0.25">
      <c r="B26" s="288"/>
      <c r="C26" s="211"/>
      <c r="D26" s="212"/>
      <c r="E26" s="296" t="s">
        <v>99</v>
      </c>
      <c r="F26" s="280"/>
      <c r="G26" s="280"/>
      <c r="H26" s="280"/>
      <c r="I26" s="262"/>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293" t="s">
        <v>100</v>
      </c>
      <c r="AP26" s="269"/>
      <c r="AQ26" s="269"/>
      <c r="AR26" s="269"/>
      <c r="AS26" s="269"/>
      <c r="AT26" s="270"/>
    </row>
    <row r="27" spans="2:46" ht="15" customHeight="1" x14ac:dyDescent="0.25">
      <c r="B27" s="288"/>
      <c r="C27" s="211"/>
      <c r="D27" s="212"/>
      <c r="E27" s="223"/>
      <c r="F27" s="211"/>
      <c r="G27" s="211"/>
      <c r="H27" s="211"/>
      <c r="I27" s="212"/>
      <c r="J27" s="36" t="str">
        <f>IF(AND('Mapa final'!$Y$21="Media",'Mapa final'!$AA$21="Leve"),CONCATENATE("R2C",'Mapa final'!$O$21),"")</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final'!$Y$22="Media",'Mapa final'!$AA$22="Leve"),CONCATENATE("R2C",'Mapa final'!$O$22),"")</f>
        <v/>
      </c>
      <c r="O27" s="38" t="str">
        <f>IF(AND('Mapa final'!$Y$23="Media",'Mapa final'!$AA$23="Leve"),CONCATENATE("R2C",'Mapa final'!$O$23),"")</f>
        <v/>
      </c>
      <c r="P27" s="36" t="str">
        <f>IF(AND('Mapa final'!$Y$21="Media",'Mapa final'!$AA$21="Menor"),CONCATENATE("R2C",'Mapa final'!$O$21),"")</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final'!$Y$22="Media",'Mapa final'!$AA$22="Menor"),CONCATENATE("R2C",'Mapa final'!$O$22),"")</f>
        <v/>
      </c>
      <c r="U27" s="38" t="str">
        <f>IF(AND('Mapa final'!$Y$23="Media",'Mapa final'!$AA$23="Menor"),CONCATENATE("R2C",'Mapa final'!$O$23),"")</f>
        <v/>
      </c>
      <c r="V27" s="36" t="str">
        <f>IF(AND('Mapa final'!$Y$21="Media",'Mapa final'!$AA$21="Moderado"),CONCATENATE("R2C",'Mapa final'!$O$21),"")</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final'!$Y$22="Media",'Mapa final'!$AA$22="Moderado"),CONCATENATE("R2C",'Mapa final'!$O$22),"")</f>
        <v/>
      </c>
      <c r="AA27" s="38" t="str">
        <f>IF(AND('Mapa final'!$Y$23="Media",'Mapa final'!$AA$23="Moderado"),CONCATENATE("R2C",'Mapa final'!$O$23),"")</f>
        <v/>
      </c>
      <c r="AB27" s="21" t="str">
        <f>IF(AND('Mapa final'!$Y$21="Media",'Mapa final'!$AA$21="Mayor"),CONCATENATE("R2C",'Mapa final'!$O$21),"")</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final'!$Y$22="Media",'Mapa final'!$AA$22="Mayor"),CONCATENATE("R2C",'Mapa final'!$O$22),"")</f>
        <v/>
      </c>
      <c r="AG27" s="23" t="str">
        <f>IF(AND('Mapa final'!$Y$23="Media",'Mapa final'!$AA$23="Mayor"),CONCATENATE("R2C",'Mapa final'!$O$23),"")</f>
        <v/>
      </c>
      <c r="AH27" s="24" t="str">
        <f>IF(AND('Mapa final'!$Y$21="Media",'Mapa final'!$AA$21="Catastrófico"),CONCATENATE("R2C",'Mapa final'!$O$21),"")</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final'!$Y$22="Media",'Mapa final'!$AA$22="Catastrófico"),CONCATENATE("R2C",'Mapa final'!$O$22),"")</f>
        <v/>
      </c>
      <c r="AM27" s="26" t="str">
        <f>IF(AND('Mapa final'!$Y$23="Media",'Mapa final'!$AA$23="Catastrófico"),CONCATENATE("R2C",'Mapa final'!$O$23),"")</f>
        <v/>
      </c>
      <c r="AN27" s="1"/>
      <c r="AO27" s="271"/>
      <c r="AP27" s="211"/>
      <c r="AQ27" s="211"/>
      <c r="AR27" s="211"/>
      <c r="AS27" s="211"/>
      <c r="AT27" s="272"/>
    </row>
    <row r="28" spans="2:46" ht="15" customHeight="1" x14ac:dyDescent="0.25">
      <c r="B28" s="288"/>
      <c r="C28" s="211"/>
      <c r="D28" s="212"/>
      <c r="E28" s="223"/>
      <c r="F28" s="211"/>
      <c r="G28" s="211"/>
      <c r="H28" s="211"/>
      <c r="I28" s="212"/>
      <c r="J28" s="36" t="str">
        <f>IF(AND('Mapa final'!$Y$26="Media",'Mapa final'!$AA$26="Leve"),CONCATENATE("R3C",'Mapa final'!$O$26),"")</f>
        <v/>
      </c>
      <c r="K28" s="37" t="str">
        <f>IF(AND('Mapa final'!$Y$27="Media",'Mapa final'!$AA$27="Leve"),CONCATENATE("R3C",'Mapa final'!$O$27),"")</f>
        <v/>
      </c>
      <c r="L28" s="37" t="str">
        <f>IF(AND('Mapa final'!$Y$28="Media",'Mapa final'!$AA$28="Leve"),CONCATENATE("R3C",'Mapa final'!$O$28),"")</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final'!$Y$26="Media",'Mapa final'!$AA$26="Menor"),CONCATENATE("R3C",'Mapa final'!$O$26),"")</f>
        <v/>
      </c>
      <c r="Q28" s="37" t="str">
        <f>IF(AND('Mapa final'!$Y$27="Media",'Mapa final'!$AA$27="Menor"),CONCATENATE("R3C",'Mapa final'!$O$27),"")</f>
        <v/>
      </c>
      <c r="R28" s="37" t="str">
        <f>IF(AND('Mapa final'!$Y$28="Media",'Mapa final'!$AA$28="Menor"),CONCATENATE("R3C",'Mapa final'!$O$28),"")</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final'!$Y$26="Media",'Mapa final'!$AA$26="Moderado"),CONCATENATE("R3C",'Mapa final'!$O$26),"")</f>
        <v/>
      </c>
      <c r="W28" s="37" t="str">
        <f>IF(AND('Mapa final'!$Y$27="Media",'Mapa final'!$AA$27="Moderado"),CONCATENATE("R3C",'Mapa final'!$O$27),"")</f>
        <v/>
      </c>
      <c r="X28" s="37" t="str">
        <f>IF(AND('Mapa final'!$Y$28="Media",'Mapa final'!$AA$28="Moderado"),CONCATENATE("R3C",'Mapa final'!$O$28),"")</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final'!$Y$26="Media",'Mapa final'!$AA$26="Mayor"),CONCATENATE("R3C",'Mapa final'!$O$26),"")</f>
        <v/>
      </c>
      <c r="AC28" s="22" t="str">
        <f>IF(AND('Mapa final'!$Y$27="Media",'Mapa final'!$AA$27="Mayor"),CONCATENATE("R3C",'Mapa final'!$O$27),"")</f>
        <v/>
      </c>
      <c r="AD28" s="22" t="str">
        <f>IF(AND('Mapa final'!$Y$28="Media",'Mapa final'!$AA$28="Mayor"),CONCATENATE("R3C",'Mapa final'!$O$28),"")</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final'!$Y$26="Media",'Mapa final'!$AA$26="Catastrófico"),CONCATENATE("R3C",'Mapa final'!$O$26),"")</f>
        <v/>
      </c>
      <c r="AI28" s="25" t="str">
        <f>IF(AND('Mapa final'!$Y$27="Media",'Mapa final'!$AA$27="Catastrófico"),CONCATENATE("R3C",'Mapa final'!$O$27),"")</f>
        <v/>
      </c>
      <c r="AJ28" s="25" t="str">
        <f>IF(AND('Mapa final'!$Y$28="Media",'Mapa final'!$AA$28="Catastrófico"),CONCATENATE("R3C",'Mapa final'!$O$28),"")</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71"/>
      <c r="AP28" s="211"/>
      <c r="AQ28" s="211"/>
      <c r="AR28" s="211"/>
      <c r="AS28" s="211"/>
      <c r="AT28" s="272"/>
    </row>
    <row r="29" spans="2:46" ht="15" customHeight="1" x14ac:dyDescent="0.25">
      <c r="B29" s="288"/>
      <c r="C29" s="211"/>
      <c r="D29" s="212"/>
      <c r="E29" s="223"/>
      <c r="F29" s="211"/>
      <c r="G29" s="211"/>
      <c r="H29" s="211"/>
      <c r="I29" s="212"/>
      <c r="J29" s="36" t="str">
        <f>IF(AND('Mapa final'!$Y$31="Media",'Mapa final'!$AA$31="Leve"),CONCATENATE("R4C",'Mapa final'!$O$31),"")</f>
        <v/>
      </c>
      <c r="K29" s="37" t="str">
        <f>IF(AND('Mapa final'!$Y$32="Media",'Mapa final'!$AA$32="Leve"),CONCATENATE("R4C",'Mapa final'!$O$32),"")</f>
        <v/>
      </c>
      <c r="L29" s="37" t="e">
        <f>IF(AND('Mapa final'!#REF!="Media",'Mapa final'!#REF!="Leve"),CONCATENATE("R4C",'Mapa final'!#REF!),"")</f>
        <v>#REF!</v>
      </c>
      <c r="M29" s="37" t="str">
        <f>IF(AND('Mapa final'!$Y$33="Media",'Mapa final'!$AA$33="Leve"),CONCATENATE("R4C",'Mapa final'!$O$33),"")</f>
        <v/>
      </c>
      <c r="N29" s="37" t="e">
        <f>IF(AND('Mapa final'!#REF!="Media",'Mapa final'!#REF!="Leve"),CONCATENATE("R4C",'Mapa final'!#REF!),"")</f>
        <v>#REF!</v>
      </c>
      <c r="O29" s="38" t="e">
        <f>IF(AND('Mapa final'!#REF!="Media",'Mapa final'!#REF!="Leve"),CONCATENATE("R4C",'Mapa final'!#REF!),"")</f>
        <v>#REF!</v>
      </c>
      <c r="P29" s="36" t="str">
        <f>IF(AND('Mapa final'!$Y$31="Media",'Mapa final'!$AA$31="Menor"),CONCATENATE("R4C",'Mapa final'!$O$31),"")</f>
        <v/>
      </c>
      <c r="Q29" s="37" t="str">
        <f>IF(AND('Mapa final'!$Y$32="Media",'Mapa final'!$AA$32="Menor"),CONCATENATE("R4C",'Mapa final'!$O$32),"")</f>
        <v/>
      </c>
      <c r="R29" s="37" t="e">
        <f>IF(AND('Mapa final'!#REF!="Media",'Mapa final'!#REF!="Menor"),CONCATENATE("R4C",'Mapa final'!#REF!),"")</f>
        <v>#REF!</v>
      </c>
      <c r="S29" s="37" t="str">
        <f>IF(AND('Mapa final'!$Y$33="Media",'Mapa final'!$AA$33="Menor"),CONCATENATE("R4C",'Mapa final'!$O$33),"")</f>
        <v/>
      </c>
      <c r="T29" s="37" t="e">
        <f>IF(AND('Mapa final'!#REF!="Media",'Mapa final'!#REF!="Menor"),CONCATENATE("R4C",'Mapa final'!#REF!),"")</f>
        <v>#REF!</v>
      </c>
      <c r="U29" s="38" t="e">
        <f>IF(AND('Mapa final'!#REF!="Media",'Mapa final'!#REF!="Menor"),CONCATENATE("R4C",'Mapa final'!#REF!),"")</f>
        <v>#REF!</v>
      </c>
      <c r="V29" s="36" t="str">
        <f>IF(AND('Mapa final'!$Y$31="Media",'Mapa final'!$AA$31="Moderado"),CONCATENATE("R4C",'Mapa final'!$O$31),"")</f>
        <v/>
      </c>
      <c r="W29" s="37" t="str">
        <f>IF(AND('Mapa final'!$Y$32="Media",'Mapa final'!$AA$32="Moderado"),CONCATENATE("R4C",'Mapa final'!$O$32),"")</f>
        <v/>
      </c>
      <c r="X29" s="37" t="e">
        <f>IF(AND('Mapa final'!#REF!="Media",'Mapa final'!#REF!="Moderado"),CONCATENATE("R4C",'Mapa final'!#REF!),"")</f>
        <v>#REF!</v>
      </c>
      <c r="Y29" s="37" t="str">
        <f>IF(AND('Mapa final'!$Y$33="Media",'Mapa final'!$AA$33="Moderado"),CONCATENATE("R4C",'Mapa final'!$O$33),"")</f>
        <v/>
      </c>
      <c r="Z29" s="37" t="e">
        <f>IF(AND('Mapa final'!#REF!="Media",'Mapa final'!#REF!="Moderado"),CONCATENATE("R4C",'Mapa final'!#REF!),"")</f>
        <v>#REF!</v>
      </c>
      <c r="AA29" s="38" t="e">
        <f>IF(AND('Mapa final'!#REF!="Media",'Mapa final'!#REF!="Moderado"),CONCATENATE("R4C",'Mapa final'!#REF!),"")</f>
        <v>#REF!</v>
      </c>
      <c r="AB29" s="21" t="str">
        <f>IF(AND('Mapa final'!$Y$31="Media",'Mapa final'!$AA$31="Mayor"),CONCATENATE("R4C",'Mapa final'!$O$31),"")</f>
        <v/>
      </c>
      <c r="AC29" s="22" t="str">
        <f>IF(AND('Mapa final'!$Y$32="Media",'Mapa final'!$AA$32="Mayor"),CONCATENATE("R4C",'Mapa final'!$O$32),"")</f>
        <v/>
      </c>
      <c r="AD29" s="22" t="e">
        <f>IF(AND('Mapa final'!#REF!="Media",'Mapa final'!#REF!="Mayor"),CONCATENATE("R4C",'Mapa final'!#REF!),"")</f>
        <v>#REF!</v>
      </c>
      <c r="AE29" s="22" t="str">
        <f>IF(AND('Mapa final'!$Y$33="Media",'Mapa final'!$AA$33="Mayor"),CONCATENATE("R4C",'Mapa final'!$O$33),"")</f>
        <v/>
      </c>
      <c r="AF29" s="22" t="e">
        <f>IF(AND('Mapa final'!#REF!="Media",'Mapa final'!#REF!="Mayor"),CONCATENATE("R4C",'Mapa final'!#REF!),"")</f>
        <v>#REF!</v>
      </c>
      <c r="AG29" s="23" t="e">
        <f>IF(AND('Mapa final'!#REF!="Media",'Mapa final'!#REF!="Mayor"),CONCATENATE("R4C",'Mapa final'!#REF!),"")</f>
        <v>#REF!</v>
      </c>
      <c r="AH29" s="24" t="str">
        <f>IF(AND('Mapa final'!$Y$31="Media",'Mapa final'!$AA$31="Catastrófico"),CONCATENATE("R4C",'Mapa final'!$O$31),"")</f>
        <v/>
      </c>
      <c r="AI29" s="25" t="str">
        <f>IF(AND('Mapa final'!$Y$32="Media",'Mapa final'!$AA$32="Catastrófico"),CONCATENATE("R4C",'Mapa final'!$O$32),"")</f>
        <v/>
      </c>
      <c r="AJ29" s="25" t="e">
        <f>IF(AND('Mapa final'!#REF!="Media",'Mapa final'!#REF!="Catastrófico"),CONCATENATE("R4C",'Mapa final'!#REF!),"")</f>
        <v>#REF!</v>
      </c>
      <c r="AK29" s="25" t="str">
        <f>IF(AND('Mapa final'!$Y$33="Media",'Mapa final'!$AA$33="Catastrófico"),CONCATENATE("R4C",'Mapa final'!$O$33),"")</f>
        <v/>
      </c>
      <c r="AL29" s="25" t="e">
        <f>IF(AND('Mapa final'!#REF!="Media",'Mapa final'!#REF!="Catastrófico"),CONCATENATE("R4C",'Mapa final'!#REF!),"")</f>
        <v>#REF!</v>
      </c>
      <c r="AM29" s="26" t="e">
        <f>IF(AND('Mapa final'!#REF!="Media",'Mapa final'!#REF!="Catastrófico"),CONCATENATE("R4C",'Mapa final'!#REF!),"")</f>
        <v>#REF!</v>
      </c>
      <c r="AN29" s="1"/>
      <c r="AO29" s="271"/>
      <c r="AP29" s="211"/>
      <c r="AQ29" s="211"/>
      <c r="AR29" s="211"/>
      <c r="AS29" s="211"/>
      <c r="AT29" s="272"/>
    </row>
    <row r="30" spans="2:46" ht="15" customHeight="1" x14ac:dyDescent="0.25">
      <c r="B30" s="288"/>
      <c r="C30" s="211"/>
      <c r="D30" s="212"/>
      <c r="E30" s="223"/>
      <c r="F30" s="211"/>
      <c r="G30" s="211"/>
      <c r="H30" s="211"/>
      <c r="I30" s="212"/>
      <c r="J30" s="36" t="str">
        <f>IF(AND('Mapa final'!$Y$36="Media",'Mapa final'!$AA$36="Leve"),CONCATENATE("R5C",'Mapa final'!$O$36),"")</f>
        <v/>
      </c>
      <c r="K30" s="37" t="str">
        <f>IF(AND('Mapa final'!$Y$37="Media",'Mapa final'!$AA$37="Leve"),CONCATENATE("R5C",'Mapa final'!$O$37),"")</f>
        <v/>
      </c>
      <c r="L30" s="37" t="str">
        <f>IF(AND('Mapa final'!$Y$38="Media",'Mapa final'!$AA$38="Leve"),CONCATENATE("R5C",'Mapa final'!$O$38),"")</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final'!$Y$36="Media",'Mapa final'!$AA$36="Menor"),CONCATENATE("R5C",'Mapa final'!$O$36),"")</f>
        <v/>
      </c>
      <c r="Q30" s="37" t="str">
        <f>IF(AND('Mapa final'!$Y$37="Media",'Mapa final'!$AA$37="Menor"),CONCATENATE("R5C",'Mapa final'!$O$37),"")</f>
        <v/>
      </c>
      <c r="R30" s="37" t="str">
        <f>IF(AND('Mapa final'!$Y$38="Media",'Mapa final'!$AA$38="Menor"),CONCATENATE("R5C",'Mapa final'!$O$38),"")</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final'!$Y$36="Media",'Mapa final'!$AA$36="Moderado"),CONCATENATE("R5C",'Mapa final'!$O$36),"")</f>
        <v/>
      </c>
      <c r="W30" s="37" t="str">
        <f>IF(AND('Mapa final'!$Y$37="Media",'Mapa final'!$AA$37="Moderado"),CONCATENATE("R5C",'Mapa final'!$O$37),"")</f>
        <v/>
      </c>
      <c r="X30" s="37" t="str">
        <f>IF(AND('Mapa final'!$Y$38="Media",'Mapa final'!$AA$38="Moderado"),CONCATENATE("R5C",'Mapa final'!$O$38),"")</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final'!$Y$36="Media",'Mapa final'!$AA$36="Mayor"),CONCATENATE("R5C",'Mapa final'!$O$36),"")</f>
        <v/>
      </c>
      <c r="AC30" s="22" t="str">
        <f>IF(AND('Mapa final'!$Y$37="Media",'Mapa final'!$AA$37="Mayor"),CONCATENATE("R5C",'Mapa final'!$O$37),"")</f>
        <v/>
      </c>
      <c r="AD30" s="22" t="str">
        <f>IF(AND('Mapa final'!$Y$38="Media",'Mapa final'!$AA$38="Mayor"),CONCATENATE("R5C",'Mapa final'!$O$38),"")</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final'!$Y$36="Media",'Mapa final'!$AA$36="Catastrófico"),CONCATENATE("R5C",'Mapa final'!$O$36),"")</f>
        <v/>
      </c>
      <c r="AI30" s="25" t="str">
        <f>IF(AND('Mapa final'!$Y$37="Media",'Mapa final'!$AA$37="Catastrófico"),CONCATENATE("R5C",'Mapa final'!$O$37),"")</f>
        <v/>
      </c>
      <c r="AJ30" s="25" t="str">
        <f>IF(AND('Mapa final'!$Y$38="Media",'Mapa final'!$AA$38="Catastrófico"),CONCATENATE("R5C",'Mapa final'!$O$38),"")</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71"/>
      <c r="AP30" s="211"/>
      <c r="AQ30" s="211"/>
      <c r="AR30" s="211"/>
      <c r="AS30" s="211"/>
      <c r="AT30" s="272"/>
    </row>
    <row r="31" spans="2:46" ht="15" customHeight="1" x14ac:dyDescent="0.25">
      <c r="B31" s="288"/>
      <c r="C31" s="211"/>
      <c r="D31" s="212"/>
      <c r="E31" s="223"/>
      <c r="F31" s="211"/>
      <c r="G31" s="211"/>
      <c r="H31" s="211"/>
      <c r="I31" s="212"/>
      <c r="J31" s="36" t="str">
        <f>IF(AND('Mapa final'!$Y$41="Media",'Mapa final'!$AA$41="Leve"),CONCATENATE("R6C",'Mapa final'!$O$41),"")</f>
        <v/>
      </c>
      <c r="K31" s="37" t="str">
        <f>IF(AND('Mapa final'!$Y$42="Media",'Mapa final'!$AA$42="Leve"),CONCATENATE("R6C",'Mapa final'!$O$42),"")</f>
        <v/>
      </c>
      <c r="L31" s="37" t="str">
        <f>IF(AND('Mapa final'!$Y$43="Media",'Mapa final'!$AA$43="Leve"),CONCATENATE("R6C",'Mapa final'!$O$43),"")</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final'!$Y$41="Media",'Mapa final'!$AA$41="Menor"),CONCATENATE("R6C",'Mapa final'!$O$41),"")</f>
        <v/>
      </c>
      <c r="Q31" s="37" t="str">
        <f>IF(AND('Mapa final'!$Y$42="Media",'Mapa final'!$AA$42="Menor"),CONCATENATE("R6C",'Mapa final'!$O$42),"")</f>
        <v/>
      </c>
      <c r="R31" s="37" t="str">
        <f>IF(AND('Mapa final'!$Y$43="Media",'Mapa final'!$AA$43="Menor"),CONCATENATE("R6C",'Mapa final'!$O$43),"")</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final'!$Y$41="Media",'Mapa final'!$AA$41="Moderado"),CONCATENATE("R6C",'Mapa final'!$O$41),"")</f>
        <v/>
      </c>
      <c r="W31" s="37" t="str">
        <f>IF(AND('Mapa final'!$Y$42="Media",'Mapa final'!$AA$42="Moderado"),CONCATENATE("R6C",'Mapa final'!$O$42),"")</f>
        <v/>
      </c>
      <c r="X31" s="37" t="str">
        <f>IF(AND('Mapa final'!$Y$43="Media",'Mapa final'!$AA$43="Moderado"),CONCATENATE("R6C",'Mapa final'!$O$43),"")</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final'!$Y$41="Media",'Mapa final'!$AA$41="Mayor"),CONCATENATE("R6C",'Mapa final'!$O$41),"")</f>
        <v/>
      </c>
      <c r="AC31" s="22" t="str">
        <f>IF(AND('Mapa final'!$Y$42="Media",'Mapa final'!$AA$42="Mayor"),CONCATENATE("R6C",'Mapa final'!$O$42),"")</f>
        <v/>
      </c>
      <c r="AD31" s="22" t="str">
        <f>IF(AND('Mapa final'!$Y$43="Media",'Mapa final'!$AA$43="Mayor"),CONCATENATE("R6C",'Mapa final'!$O$43),"")</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final'!$Y$41="Media",'Mapa final'!$AA$41="Catastrófico"),CONCATENATE("R6C",'Mapa final'!$O$41),"")</f>
        <v/>
      </c>
      <c r="AI31" s="25" t="str">
        <f>IF(AND('Mapa final'!$Y$42="Media",'Mapa final'!$AA$42="Catastrófico"),CONCATENATE("R6C",'Mapa final'!$O$42),"")</f>
        <v/>
      </c>
      <c r="AJ31" s="25" t="str">
        <f>IF(AND('Mapa final'!$Y$43="Media",'Mapa final'!$AA$43="Catastrófico"),CONCATENATE("R6C",'Mapa final'!$O$43),"")</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71"/>
      <c r="AP31" s="211"/>
      <c r="AQ31" s="211"/>
      <c r="AR31" s="211"/>
      <c r="AS31" s="211"/>
      <c r="AT31" s="272"/>
    </row>
    <row r="32" spans="2:46" ht="15" customHeight="1" x14ac:dyDescent="0.25">
      <c r="B32" s="288"/>
      <c r="C32" s="211"/>
      <c r="D32" s="212"/>
      <c r="E32" s="223"/>
      <c r="F32" s="211"/>
      <c r="G32" s="211"/>
      <c r="H32" s="211"/>
      <c r="I32" s="212"/>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71"/>
      <c r="AP32" s="211"/>
      <c r="AQ32" s="211"/>
      <c r="AR32" s="211"/>
      <c r="AS32" s="211"/>
      <c r="AT32" s="272"/>
    </row>
    <row r="33" spans="2:46" ht="15" customHeight="1" x14ac:dyDescent="0.25">
      <c r="B33" s="288"/>
      <c r="C33" s="211"/>
      <c r="D33" s="212"/>
      <c r="E33" s="223"/>
      <c r="F33" s="211"/>
      <c r="G33" s="211"/>
      <c r="H33" s="211"/>
      <c r="I33" s="212"/>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71"/>
      <c r="AP33" s="211"/>
      <c r="AQ33" s="211"/>
      <c r="AR33" s="211"/>
      <c r="AS33" s="211"/>
      <c r="AT33" s="272"/>
    </row>
    <row r="34" spans="2:46" ht="15" customHeight="1" x14ac:dyDescent="0.25">
      <c r="B34" s="288"/>
      <c r="C34" s="211"/>
      <c r="D34" s="212"/>
      <c r="E34" s="223"/>
      <c r="F34" s="211"/>
      <c r="G34" s="211"/>
      <c r="H34" s="211"/>
      <c r="I34" s="212"/>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71"/>
      <c r="AP34" s="211"/>
      <c r="AQ34" s="211"/>
      <c r="AR34" s="211"/>
      <c r="AS34" s="211"/>
      <c r="AT34" s="272"/>
    </row>
    <row r="35" spans="2:46" ht="15.75" customHeight="1" x14ac:dyDescent="0.25">
      <c r="B35" s="288"/>
      <c r="C35" s="211"/>
      <c r="D35" s="212"/>
      <c r="E35" s="257"/>
      <c r="F35" s="281"/>
      <c r="G35" s="281"/>
      <c r="H35" s="281"/>
      <c r="I35" s="260"/>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73"/>
      <c r="AP35" s="274"/>
      <c r="AQ35" s="274"/>
      <c r="AR35" s="274"/>
      <c r="AS35" s="274"/>
      <c r="AT35" s="275"/>
    </row>
    <row r="36" spans="2:46" ht="15" customHeight="1" x14ac:dyDescent="0.25">
      <c r="B36" s="288"/>
      <c r="C36" s="211"/>
      <c r="D36" s="212"/>
      <c r="E36" s="296" t="s">
        <v>101</v>
      </c>
      <c r="F36" s="280"/>
      <c r="G36" s="280"/>
      <c r="H36" s="280"/>
      <c r="I36" s="280"/>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
      </c>
      <c r="Q36" s="34" t="str">
        <f>IF(AND('Mapa final'!$Y$17="Baja",'Mapa final'!$AA$17="Menor"),CONCATENATE("R1C",'Mapa final'!$O$17),"")</f>
        <v/>
      </c>
      <c r="R36" s="34" t="str">
        <f>IF(AND('Mapa final'!$Y$18="Baja",'Mapa final'!$AA$18="Menor"),CONCATENATE("R1C",'Mapa final'!$O$18),"")</f>
        <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R1C1</v>
      </c>
      <c r="AC36" s="16" t="str">
        <f>IF(AND('Mapa final'!$Y$17="Baja",'Mapa final'!$AA$17="Mayor"),CONCATENATE("R1C",'Mapa final'!$O$17),"")</f>
        <v>R1C2</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
      </c>
      <c r="AJ36" s="19" t="str">
        <f>IF(AND('Mapa final'!$Y$18="Baja",'Mapa final'!$AA$18="Catastrófico"),CONCATENATE("R1C",'Mapa final'!$O$18),"")</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295" t="s">
        <v>102</v>
      </c>
      <c r="AP36" s="269"/>
      <c r="AQ36" s="269"/>
      <c r="AR36" s="269"/>
      <c r="AS36" s="269"/>
      <c r="AT36" s="270"/>
    </row>
    <row r="37" spans="2:46" ht="15" customHeight="1" x14ac:dyDescent="0.25">
      <c r="B37" s="288"/>
      <c r="C37" s="211"/>
      <c r="D37" s="212"/>
      <c r="E37" s="223"/>
      <c r="F37" s="211"/>
      <c r="G37" s="211"/>
      <c r="H37" s="211"/>
      <c r="I37" s="211"/>
      <c r="J37" s="45" t="str">
        <f>IF(AND('Mapa final'!$Y$21="Baja",'Mapa final'!$AA$21="Leve"),CONCATENATE("R2C",'Mapa final'!$O$21),"")</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final'!$Y$22="Baja",'Mapa final'!$AA$22="Leve"),CONCATENATE("R2C",'Mapa final'!$O$22),"")</f>
        <v/>
      </c>
      <c r="O37" s="47" t="str">
        <f>IF(AND('Mapa final'!$Y$23="Baja",'Mapa final'!$AA$23="Leve"),CONCATENATE("R2C",'Mapa final'!$O$23),"")</f>
        <v/>
      </c>
      <c r="P37" s="36" t="str">
        <f>IF(AND('Mapa final'!$Y$21="Baja",'Mapa final'!$AA$21="Menor"),CONCATENATE("R2C",'Mapa final'!$O$21),"")</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final'!$Y$22="Baja",'Mapa final'!$AA$22="Menor"),CONCATENATE("R2C",'Mapa final'!$O$22),"")</f>
        <v/>
      </c>
      <c r="U37" s="38" t="str">
        <f>IF(AND('Mapa final'!$Y$23="Baja",'Mapa final'!$AA$23="Menor"),CONCATENATE("R2C",'Mapa final'!$O$23),"")</f>
        <v/>
      </c>
      <c r="V37" s="36" t="str">
        <f>IF(AND('Mapa final'!$Y$21="Baja",'Mapa final'!$AA$21="Moderado"),CONCATENATE("R2C",'Mapa final'!$O$21),"")</f>
        <v>R2C1</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final'!$Y$22="Baja",'Mapa final'!$AA$22="Moderado"),CONCATENATE("R2C",'Mapa final'!$O$22),"")</f>
        <v>R2C2</v>
      </c>
      <c r="AA37" s="38" t="str">
        <f>IF(AND('Mapa final'!$Y$23="Baja",'Mapa final'!$AA$23="Moderado"),CONCATENATE("R2C",'Mapa final'!$O$23),"")</f>
        <v/>
      </c>
      <c r="AB37" s="21" t="str">
        <f>IF(AND('Mapa final'!$Y$21="Baja",'Mapa final'!$AA$21="Mayor"),CONCATENATE("R2C",'Mapa final'!$O$21),"")</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final'!$Y$22="Baja",'Mapa final'!$AA$22="Mayor"),CONCATENATE("R2C",'Mapa final'!$O$22),"")</f>
        <v/>
      </c>
      <c r="AG37" s="23" t="str">
        <f>IF(AND('Mapa final'!$Y$23="Baja",'Mapa final'!$AA$23="Mayor"),CONCATENATE("R2C",'Mapa final'!$O$23),"")</f>
        <v/>
      </c>
      <c r="AH37" s="24" t="str">
        <f>IF(AND('Mapa final'!$Y$21="Baja",'Mapa final'!$AA$21="Catastrófico"),CONCATENATE("R2C",'Mapa final'!$O$21),"")</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final'!$Y$22="Baja",'Mapa final'!$AA$22="Catastrófico"),CONCATENATE("R2C",'Mapa final'!$O$22),"")</f>
        <v/>
      </c>
      <c r="AM37" s="26" t="str">
        <f>IF(AND('Mapa final'!$Y$23="Baja",'Mapa final'!$AA$23="Catastrófico"),CONCATENATE("R2C",'Mapa final'!$O$23),"")</f>
        <v/>
      </c>
      <c r="AN37" s="1"/>
      <c r="AO37" s="271"/>
      <c r="AP37" s="211"/>
      <c r="AQ37" s="211"/>
      <c r="AR37" s="211"/>
      <c r="AS37" s="211"/>
      <c r="AT37" s="272"/>
    </row>
    <row r="38" spans="2:46" ht="15" customHeight="1" x14ac:dyDescent="0.25">
      <c r="B38" s="288"/>
      <c r="C38" s="211"/>
      <c r="D38" s="212"/>
      <c r="E38" s="223"/>
      <c r="F38" s="211"/>
      <c r="G38" s="211"/>
      <c r="H38" s="211"/>
      <c r="I38" s="211"/>
      <c r="J38" s="45" t="str">
        <f>IF(AND('Mapa final'!$Y$26="Baja",'Mapa final'!$AA$26="Leve"),CONCATENATE("R3C",'Mapa final'!$O$26),"")</f>
        <v>R3C1</v>
      </c>
      <c r="K38" s="46" t="str">
        <f>IF(AND('Mapa final'!$Y$27="Baja",'Mapa final'!$AA$27="Leve"),CONCATENATE("R3C",'Mapa final'!$O$27),"")</f>
        <v>R3C2</v>
      </c>
      <c r="L38" s="46" t="str">
        <f>IF(AND('Mapa final'!$Y$28="Baja",'Mapa final'!$AA$28="Leve"),CONCATENATE("R3C",'Mapa final'!$O$28),"")</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final'!$Y$26="Baja",'Mapa final'!$AA$26="Menor"),CONCATENATE("R3C",'Mapa final'!$O$26),"")</f>
        <v/>
      </c>
      <c r="Q38" s="37" t="str">
        <f>IF(AND('Mapa final'!$Y$27="Baja",'Mapa final'!$AA$27="Menor"),CONCATENATE("R3C",'Mapa final'!$O$27),"")</f>
        <v/>
      </c>
      <c r="R38" s="37" t="str">
        <f>IF(AND('Mapa final'!$Y$28="Baja",'Mapa final'!$AA$28="Menor"),CONCATENATE("R3C",'Mapa final'!$O$28),"")</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final'!$Y$26="Baja",'Mapa final'!$AA$26="Moderado"),CONCATENATE("R3C",'Mapa final'!$O$26),"")</f>
        <v/>
      </c>
      <c r="W38" s="37" t="str">
        <f>IF(AND('Mapa final'!$Y$27="Baja",'Mapa final'!$AA$27="Moderado"),CONCATENATE("R3C",'Mapa final'!$O$27),"")</f>
        <v/>
      </c>
      <c r="X38" s="37" t="str">
        <f>IF(AND('Mapa final'!$Y$28="Baja",'Mapa final'!$AA$28="Moderado"),CONCATENATE("R3C",'Mapa final'!$O$28),"")</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final'!$Y$26="Baja",'Mapa final'!$AA$26="Mayor"),CONCATENATE("R3C",'Mapa final'!$O$26),"")</f>
        <v/>
      </c>
      <c r="AC38" s="22" t="str">
        <f>IF(AND('Mapa final'!$Y$27="Baja",'Mapa final'!$AA$27="Mayor"),CONCATENATE("R3C",'Mapa final'!$O$27),"")</f>
        <v/>
      </c>
      <c r="AD38" s="22" t="str">
        <f>IF(AND('Mapa final'!$Y$28="Baja",'Mapa final'!$AA$28="Mayor"),CONCATENATE("R3C",'Mapa final'!$O$28),"")</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final'!$Y$26="Baja",'Mapa final'!$AA$26="Catastrófico"),CONCATENATE("R3C",'Mapa final'!$O$26),"")</f>
        <v/>
      </c>
      <c r="AI38" s="25" t="str">
        <f>IF(AND('Mapa final'!$Y$27="Baja",'Mapa final'!$AA$27="Catastrófico"),CONCATENATE("R3C",'Mapa final'!$O$27),"")</f>
        <v/>
      </c>
      <c r="AJ38" s="25" t="str">
        <f>IF(AND('Mapa final'!$Y$28="Baja",'Mapa final'!$AA$28="Catastrófico"),CONCATENATE("R3C",'Mapa final'!$O$28),"")</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71"/>
      <c r="AP38" s="211"/>
      <c r="AQ38" s="211"/>
      <c r="AR38" s="211"/>
      <c r="AS38" s="211"/>
      <c r="AT38" s="272"/>
    </row>
    <row r="39" spans="2:46" ht="15" customHeight="1" x14ac:dyDescent="0.25">
      <c r="B39" s="288"/>
      <c r="C39" s="211"/>
      <c r="D39" s="212"/>
      <c r="E39" s="223"/>
      <c r="F39" s="211"/>
      <c r="G39" s="211"/>
      <c r="H39" s="211"/>
      <c r="I39" s="211"/>
      <c r="J39" s="45" t="str">
        <f>IF(AND('Mapa final'!$Y$31="Baja",'Mapa final'!$AA$31="Leve"),CONCATENATE("R4C",'Mapa final'!$O$31),"")</f>
        <v/>
      </c>
      <c r="K39" s="46" t="str">
        <f>IF(AND('Mapa final'!$Y$32="Baja",'Mapa final'!$AA$32="Leve"),CONCATENATE("R4C",'Mapa final'!$O$32),"")</f>
        <v/>
      </c>
      <c r="L39" s="46" t="e">
        <f>IF(AND('Mapa final'!#REF!="Baja",'Mapa final'!#REF!="Leve"),CONCATENATE("R4C",'Mapa final'!#REF!),"")</f>
        <v>#REF!</v>
      </c>
      <c r="M39" s="46" t="str">
        <f>IF(AND('Mapa final'!$Y$33="Baja",'Mapa final'!$AA$33="Leve"),CONCATENATE("R4C",'Mapa final'!$O$33),"")</f>
        <v/>
      </c>
      <c r="N39" s="46" t="e">
        <f>IF(AND('Mapa final'!#REF!="Baja",'Mapa final'!#REF!="Leve"),CONCATENATE("R4C",'Mapa final'!#REF!),"")</f>
        <v>#REF!</v>
      </c>
      <c r="O39" s="47" t="e">
        <f>IF(AND('Mapa final'!#REF!="Baja",'Mapa final'!#REF!="Leve"),CONCATENATE("R4C",'Mapa final'!#REF!),"")</f>
        <v>#REF!</v>
      </c>
      <c r="P39" s="36" t="str">
        <f>IF(AND('Mapa final'!$Y$31="Baja",'Mapa final'!$AA$31="Menor"),CONCATENATE("R4C",'Mapa final'!$O$31),"")</f>
        <v/>
      </c>
      <c r="Q39" s="37" t="str">
        <f>IF(AND('Mapa final'!$Y$32="Baja",'Mapa final'!$AA$32="Menor"),CONCATENATE("R4C",'Mapa final'!$O$32),"")</f>
        <v/>
      </c>
      <c r="R39" s="37" t="e">
        <f>IF(AND('Mapa final'!#REF!="Baja",'Mapa final'!#REF!="Menor"),CONCATENATE("R4C",'Mapa final'!#REF!),"")</f>
        <v>#REF!</v>
      </c>
      <c r="S39" s="37" t="str">
        <f>IF(AND('Mapa final'!$Y$33="Baja",'Mapa final'!$AA$33="Menor"),CONCATENATE("R4C",'Mapa final'!$O$33),"")</f>
        <v/>
      </c>
      <c r="T39" s="37" t="e">
        <f>IF(AND('Mapa final'!#REF!="Baja",'Mapa final'!#REF!="Menor"),CONCATENATE("R4C",'Mapa final'!#REF!),"")</f>
        <v>#REF!</v>
      </c>
      <c r="U39" s="38" t="e">
        <f>IF(AND('Mapa final'!#REF!="Baja",'Mapa final'!#REF!="Menor"),CONCATENATE("R4C",'Mapa final'!#REF!),"")</f>
        <v>#REF!</v>
      </c>
      <c r="V39" s="36" t="str">
        <f>IF(AND('Mapa final'!$Y$31="Baja",'Mapa final'!$AA$31="Moderado"),CONCATENATE("R4C",'Mapa final'!$O$31),"")</f>
        <v/>
      </c>
      <c r="W39" s="37" t="str">
        <f>IF(AND('Mapa final'!$Y$32="Baja",'Mapa final'!$AA$32="Moderado"),CONCATENATE("R4C",'Mapa final'!$O$32),"")</f>
        <v/>
      </c>
      <c r="X39" s="37" t="e">
        <f>IF(AND('Mapa final'!#REF!="Baja",'Mapa final'!#REF!="Moderado"),CONCATENATE("R4C",'Mapa final'!#REF!),"")</f>
        <v>#REF!</v>
      </c>
      <c r="Y39" s="37" t="str">
        <f>IF(AND('Mapa final'!$Y$33="Baja",'Mapa final'!$AA$33="Moderado"),CONCATENATE("R4C",'Mapa final'!$O$33),"")</f>
        <v/>
      </c>
      <c r="Z39" s="37" t="e">
        <f>IF(AND('Mapa final'!#REF!="Baja",'Mapa final'!#REF!="Moderado"),CONCATENATE("R4C",'Mapa final'!#REF!),"")</f>
        <v>#REF!</v>
      </c>
      <c r="AA39" s="38" t="e">
        <f>IF(AND('Mapa final'!#REF!="Baja",'Mapa final'!#REF!="Moderado"),CONCATENATE("R4C",'Mapa final'!#REF!),"")</f>
        <v>#REF!</v>
      </c>
      <c r="AB39" s="21" t="str">
        <f>IF(AND('Mapa final'!$Y$31="Baja",'Mapa final'!$AA$31="Mayor"),CONCATENATE("R4C",'Mapa final'!$O$31),"")</f>
        <v/>
      </c>
      <c r="AC39" s="22" t="str">
        <f>IF(AND('Mapa final'!$Y$32="Baja",'Mapa final'!$AA$32="Mayor"),CONCATENATE("R4C",'Mapa final'!$O$32),"")</f>
        <v/>
      </c>
      <c r="AD39" s="22" t="e">
        <f>IF(AND('Mapa final'!#REF!="Baja",'Mapa final'!#REF!="Mayor"),CONCATENATE("R4C",'Mapa final'!#REF!),"")</f>
        <v>#REF!</v>
      </c>
      <c r="AE39" s="22" t="str">
        <f>IF(AND('Mapa final'!$Y$33="Baja",'Mapa final'!$AA$33="Mayor"),CONCATENATE("R4C",'Mapa final'!$O$33),"")</f>
        <v/>
      </c>
      <c r="AF39" s="22" t="e">
        <f>IF(AND('Mapa final'!#REF!="Baja",'Mapa final'!#REF!="Mayor"),CONCATENATE("R4C",'Mapa final'!#REF!),"")</f>
        <v>#REF!</v>
      </c>
      <c r="AG39" s="23" t="e">
        <f>IF(AND('Mapa final'!#REF!="Baja",'Mapa final'!#REF!="Mayor"),CONCATENATE("R4C",'Mapa final'!#REF!),"")</f>
        <v>#REF!</v>
      </c>
      <c r="AH39" s="24" t="str">
        <f>IF(AND('Mapa final'!$Y$31="Baja",'Mapa final'!$AA$31="Catastrófico"),CONCATENATE("R4C",'Mapa final'!$O$31),"")</f>
        <v/>
      </c>
      <c r="AI39" s="25" t="str">
        <f>IF(AND('Mapa final'!$Y$32="Baja",'Mapa final'!$AA$32="Catastrófico"),CONCATENATE("R4C",'Mapa final'!$O$32),"")</f>
        <v/>
      </c>
      <c r="AJ39" s="25" t="e">
        <f>IF(AND('Mapa final'!#REF!="Baja",'Mapa final'!#REF!="Catastrófico"),CONCATENATE("R4C",'Mapa final'!#REF!),"")</f>
        <v>#REF!</v>
      </c>
      <c r="AK39" s="25" t="str">
        <f>IF(AND('Mapa final'!$Y$33="Baja",'Mapa final'!$AA$33="Catastrófico"),CONCATENATE("R4C",'Mapa final'!$O$33),"")</f>
        <v/>
      </c>
      <c r="AL39" s="25" t="e">
        <f>IF(AND('Mapa final'!#REF!="Baja",'Mapa final'!#REF!="Catastrófico"),CONCATENATE("R4C",'Mapa final'!#REF!),"")</f>
        <v>#REF!</v>
      </c>
      <c r="AM39" s="26" t="e">
        <f>IF(AND('Mapa final'!#REF!="Baja",'Mapa final'!#REF!="Catastrófico"),CONCATENATE("R4C",'Mapa final'!#REF!),"")</f>
        <v>#REF!</v>
      </c>
      <c r="AN39" s="1"/>
      <c r="AO39" s="271"/>
      <c r="AP39" s="211"/>
      <c r="AQ39" s="211"/>
      <c r="AR39" s="211"/>
      <c r="AS39" s="211"/>
      <c r="AT39" s="272"/>
    </row>
    <row r="40" spans="2:46" ht="15" customHeight="1" x14ac:dyDescent="0.25">
      <c r="B40" s="288"/>
      <c r="C40" s="211"/>
      <c r="D40" s="212"/>
      <c r="E40" s="223"/>
      <c r="F40" s="211"/>
      <c r="G40" s="211"/>
      <c r="H40" s="211"/>
      <c r="I40" s="211"/>
      <c r="J40" s="45" t="str">
        <f>IF(AND('Mapa final'!$Y$36="Baja",'Mapa final'!$AA$36="Leve"),CONCATENATE("R5C",'Mapa final'!$O$36),"")</f>
        <v/>
      </c>
      <c r="K40" s="46" t="str">
        <f>IF(AND('Mapa final'!$Y$37="Baja",'Mapa final'!$AA$37="Leve"),CONCATENATE("R5C",'Mapa final'!$O$37),"")</f>
        <v/>
      </c>
      <c r="L40" s="46" t="str">
        <f>IF(AND('Mapa final'!$Y$38="Baja",'Mapa final'!$AA$38="Leve"),CONCATENATE("R5C",'Mapa final'!$O$38),"")</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final'!$Y$36="Baja",'Mapa final'!$AA$36="Menor"),CONCATENATE("R5C",'Mapa final'!$O$36),"")</f>
        <v/>
      </c>
      <c r="Q40" s="37" t="str">
        <f>IF(AND('Mapa final'!$Y$37="Baja",'Mapa final'!$AA$37="Menor"),CONCATENATE("R5C",'Mapa final'!$O$37),"")</f>
        <v/>
      </c>
      <c r="R40" s="37" t="str">
        <f>IF(AND('Mapa final'!$Y$38="Baja",'Mapa final'!$AA$38="Menor"),CONCATENATE("R5C",'Mapa final'!$O$38),"")</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final'!$Y$36="Baja",'Mapa final'!$AA$36="Moderado"),CONCATENATE("R5C",'Mapa final'!$O$36),"")</f>
        <v/>
      </c>
      <c r="W40" s="37" t="str">
        <f>IF(AND('Mapa final'!$Y$37="Baja",'Mapa final'!$AA$37="Moderado"),CONCATENATE("R5C",'Mapa final'!$O$37),"")</f>
        <v/>
      </c>
      <c r="X40" s="37" t="str">
        <f>IF(AND('Mapa final'!$Y$38="Baja",'Mapa final'!$AA$38="Moderado"),CONCATENATE("R5C",'Mapa final'!$O$38),"")</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final'!$Y$36="Baja",'Mapa final'!$AA$36="Mayor"),CONCATENATE("R5C",'Mapa final'!$O$36),"")</f>
        <v/>
      </c>
      <c r="AC40" s="22" t="str">
        <f>IF(AND('Mapa final'!$Y$37="Baja",'Mapa final'!$AA$37="Mayor"),CONCATENATE("R5C",'Mapa final'!$O$37),"")</f>
        <v/>
      </c>
      <c r="AD40" s="22" t="str">
        <f>IF(AND('Mapa final'!$Y$38="Baja",'Mapa final'!$AA$38="Mayor"),CONCATENATE("R5C",'Mapa final'!$O$38),"")</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final'!$Y$36="Baja",'Mapa final'!$AA$36="Catastrófico"),CONCATENATE("R5C",'Mapa final'!$O$36),"")</f>
        <v/>
      </c>
      <c r="AI40" s="25" t="str">
        <f>IF(AND('Mapa final'!$Y$37="Baja",'Mapa final'!$AA$37="Catastrófico"),CONCATENATE("R5C",'Mapa final'!$O$37),"")</f>
        <v/>
      </c>
      <c r="AJ40" s="25" t="str">
        <f>IF(AND('Mapa final'!$Y$38="Baja",'Mapa final'!$AA$38="Catastrófico"),CONCATENATE("R5C",'Mapa final'!$O$38),"")</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71"/>
      <c r="AP40" s="211"/>
      <c r="AQ40" s="211"/>
      <c r="AR40" s="211"/>
      <c r="AS40" s="211"/>
      <c r="AT40" s="272"/>
    </row>
    <row r="41" spans="2:46" ht="15" customHeight="1" x14ac:dyDescent="0.25">
      <c r="B41" s="288"/>
      <c r="C41" s="211"/>
      <c r="D41" s="212"/>
      <c r="E41" s="223"/>
      <c r="F41" s="211"/>
      <c r="G41" s="211"/>
      <c r="H41" s="211"/>
      <c r="I41" s="211"/>
      <c r="J41" s="45" t="str">
        <f>IF(AND('Mapa final'!$Y$41="Baja",'Mapa final'!$AA$41="Leve"),CONCATENATE("R6C",'Mapa final'!$O$41),"")</f>
        <v/>
      </c>
      <c r="K41" s="46" t="str">
        <f>IF(AND('Mapa final'!$Y$42="Baja",'Mapa final'!$AA$42="Leve"),CONCATENATE("R6C",'Mapa final'!$O$42),"")</f>
        <v/>
      </c>
      <c r="L41" s="46" t="str">
        <f>IF(AND('Mapa final'!$Y$43="Baja",'Mapa final'!$AA$43="Leve"),CONCATENATE("R6C",'Mapa final'!$O$43),"")</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final'!$Y$41="Baja",'Mapa final'!$AA$41="Menor"),CONCATENATE("R6C",'Mapa final'!$O$41),"")</f>
        <v/>
      </c>
      <c r="Q41" s="37" t="str">
        <f>IF(AND('Mapa final'!$Y$42="Baja",'Mapa final'!$AA$42="Menor"),CONCATENATE("R6C",'Mapa final'!$O$42),"")</f>
        <v/>
      </c>
      <c r="R41" s="37" t="str">
        <f>IF(AND('Mapa final'!$Y$43="Baja",'Mapa final'!$AA$43="Menor"),CONCATENATE("R6C",'Mapa final'!$O$43),"")</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final'!$Y$41="Baja",'Mapa final'!$AA$41="Moderado"),CONCATENATE("R6C",'Mapa final'!$O$41),"")</f>
        <v/>
      </c>
      <c r="W41" s="37" t="str">
        <f>IF(AND('Mapa final'!$Y$42="Baja",'Mapa final'!$AA$42="Moderado"),CONCATENATE("R6C",'Mapa final'!$O$42),"")</f>
        <v/>
      </c>
      <c r="X41" s="37" t="str">
        <f>IF(AND('Mapa final'!$Y$43="Baja",'Mapa final'!$AA$43="Moderado"),CONCATENATE("R6C",'Mapa final'!$O$43),"")</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final'!$Y$41="Baja",'Mapa final'!$AA$41="Mayor"),CONCATENATE("R6C",'Mapa final'!$O$41),"")</f>
        <v/>
      </c>
      <c r="AC41" s="22" t="str">
        <f>IF(AND('Mapa final'!$Y$42="Baja",'Mapa final'!$AA$42="Mayor"),CONCATENATE("R6C",'Mapa final'!$O$42),"")</f>
        <v/>
      </c>
      <c r="AD41" s="22" t="str">
        <f>IF(AND('Mapa final'!$Y$43="Baja",'Mapa final'!$AA$43="Mayor"),CONCATENATE("R6C",'Mapa final'!$O$43),"")</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final'!$Y$41="Baja",'Mapa final'!$AA$41="Catastrófico"),CONCATENATE("R6C",'Mapa final'!$O$41),"")</f>
        <v/>
      </c>
      <c r="AI41" s="25" t="str">
        <f>IF(AND('Mapa final'!$Y$42="Baja",'Mapa final'!$AA$42="Catastrófico"),CONCATENATE("R6C",'Mapa final'!$O$42),"")</f>
        <v/>
      </c>
      <c r="AJ41" s="25" t="str">
        <f>IF(AND('Mapa final'!$Y$43="Baja",'Mapa final'!$AA$43="Catastrófico"),CONCATENATE("R6C",'Mapa final'!$O$43),"")</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71"/>
      <c r="AP41" s="211"/>
      <c r="AQ41" s="211"/>
      <c r="AR41" s="211"/>
      <c r="AS41" s="211"/>
      <c r="AT41" s="272"/>
    </row>
    <row r="42" spans="2:46" ht="15" customHeight="1" x14ac:dyDescent="0.25">
      <c r="B42" s="288"/>
      <c r="C42" s="211"/>
      <c r="D42" s="212"/>
      <c r="E42" s="223"/>
      <c r="F42" s="211"/>
      <c r="G42" s="211"/>
      <c r="H42" s="211"/>
      <c r="I42" s="211"/>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71"/>
      <c r="AP42" s="211"/>
      <c r="AQ42" s="211"/>
      <c r="AR42" s="211"/>
      <c r="AS42" s="211"/>
      <c r="AT42" s="272"/>
    </row>
    <row r="43" spans="2:46" ht="15" customHeight="1" x14ac:dyDescent="0.25">
      <c r="B43" s="288"/>
      <c r="C43" s="211"/>
      <c r="D43" s="212"/>
      <c r="E43" s="223"/>
      <c r="F43" s="211"/>
      <c r="G43" s="211"/>
      <c r="H43" s="211"/>
      <c r="I43" s="211"/>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71"/>
      <c r="AP43" s="211"/>
      <c r="AQ43" s="211"/>
      <c r="AR43" s="211"/>
      <c r="AS43" s="211"/>
      <c r="AT43" s="272"/>
    </row>
    <row r="44" spans="2:46" ht="15" customHeight="1" x14ac:dyDescent="0.25">
      <c r="B44" s="288"/>
      <c r="C44" s="211"/>
      <c r="D44" s="212"/>
      <c r="E44" s="223"/>
      <c r="F44" s="211"/>
      <c r="G44" s="211"/>
      <c r="H44" s="211"/>
      <c r="I44" s="211"/>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71"/>
      <c r="AP44" s="211"/>
      <c r="AQ44" s="211"/>
      <c r="AR44" s="211"/>
      <c r="AS44" s="211"/>
      <c r="AT44" s="272"/>
    </row>
    <row r="45" spans="2:46" ht="15.75" customHeight="1" x14ac:dyDescent="0.25">
      <c r="B45" s="288"/>
      <c r="C45" s="211"/>
      <c r="D45" s="212"/>
      <c r="E45" s="257"/>
      <c r="F45" s="281"/>
      <c r="G45" s="281"/>
      <c r="H45" s="281"/>
      <c r="I45" s="281"/>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73"/>
      <c r="AP45" s="274"/>
      <c r="AQ45" s="274"/>
      <c r="AR45" s="274"/>
      <c r="AS45" s="274"/>
      <c r="AT45" s="275"/>
    </row>
    <row r="46" spans="2:46" ht="46.5" customHeight="1" x14ac:dyDescent="0.35">
      <c r="B46" s="288"/>
      <c r="C46" s="211"/>
      <c r="D46" s="212"/>
      <c r="E46" s="296" t="s">
        <v>103</v>
      </c>
      <c r="F46" s="280"/>
      <c r="G46" s="280"/>
      <c r="H46" s="280"/>
      <c r="I46" s="262"/>
      <c r="J46" s="42" t="str">
        <f>IF(AND('Mapa final'!$Y$16="Muy Baja",'Mapa final'!$AA$16="Leve"),CONCATENATE("R1C",'Mapa final'!$O$16),"")</f>
        <v/>
      </c>
      <c r="K46" s="43" t="str">
        <f>IF(AND('Mapa final'!$Y$17="Muy Baja",'Mapa final'!$AA$17="Leve"),CONCATENATE("R1C",'Mapa final'!$O$17),"")</f>
        <v/>
      </c>
      <c r="L46" s="43" t="str">
        <f>IF(AND('Mapa final'!$Y$18="Muy Baja",'Mapa final'!$AA$18="Leve"),CONCATENATE("R1C",'Mapa final'!$O$18),"")</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R1C3</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288"/>
      <c r="C47" s="211"/>
      <c r="D47" s="212"/>
      <c r="E47" s="223"/>
      <c r="F47" s="211"/>
      <c r="G47" s="211"/>
      <c r="H47" s="211"/>
      <c r="I47" s="212"/>
      <c r="J47" s="45" t="str">
        <f>IF(AND('Mapa final'!$Y$21="Muy Baja",'Mapa final'!$AA$21="Leve"),CONCATENATE("R2C",'Mapa final'!$O$21),"")</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final'!$Y$22="Muy Baja",'Mapa final'!$AA$22="Leve"),CONCATENATE("R2C",'Mapa final'!$O$22),"")</f>
        <v/>
      </c>
      <c r="O47" s="47" t="str">
        <f>IF(AND('Mapa final'!$Y$23="Muy Baja",'Mapa final'!$AA$23="Leve"),CONCATENATE("R2C",'Mapa final'!$O$23),"")</f>
        <v/>
      </c>
      <c r="P47" s="45" t="str">
        <f>IF(AND('Mapa final'!$Y$21="Muy Baja",'Mapa final'!$AA$21="Menor"),CONCATENATE("R2C",'Mapa final'!$O$21),"")</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final'!$Y$22="Muy Baja",'Mapa final'!$AA$22="Menor"),CONCATENATE("R2C",'Mapa final'!$O$22),"")</f>
        <v/>
      </c>
      <c r="U47" s="47" t="str">
        <f>IF(AND('Mapa final'!$Y$23="Muy Baja",'Mapa final'!$AA$23="Menor"),CONCATENATE("R2C",'Mapa final'!$O$23),"")</f>
        <v/>
      </c>
      <c r="V47" s="36" t="str">
        <f>IF(AND('Mapa final'!$Y$21="Muy Baja",'Mapa final'!$AA$21="Moderado"),CONCATENATE("R2C",'Mapa final'!$O$21),"")</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final'!$Y$22="Muy Baja",'Mapa final'!$AA$22="Moderado"),CONCATENATE("R2C",'Mapa final'!$O$22),"")</f>
        <v/>
      </c>
      <c r="AA47" s="38" t="str">
        <f>IF(AND('Mapa final'!$Y$23="Muy Baja",'Mapa final'!$AA$23="Moderado"),CONCATENATE("R2C",'Mapa final'!$O$23),"")</f>
        <v/>
      </c>
      <c r="AB47" s="21" t="str">
        <f>IF(AND('Mapa final'!$Y$21="Muy Baja",'Mapa final'!$AA$21="Mayor"),CONCATENATE("R2C",'Mapa final'!$O$21),"")</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final'!$Y$22="Muy Baja",'Mapa final'!$AA$22="Mayor"),CONCATENATE("R2C",'Mapa final'!$O$22),"")</f>
        <v/>
      </c>
      <c r="AG47" s="23" t="str">
        <f>IF(AND('Mapa final'!$Y$23="Muy Baja",'Mapa final'!$AA$23="Mayor"),CONCATENATE("R2C",'Mapa final'!$O$23),"")</f>
        <v/>
      </c>
      <c r="AH47" s="24" t="str">
        <f>IF(AND('Mapa final'!$Y$21="Muy Baja",'Mapa final'!$AA$21="Catastrófico"),CONCATENATE("R2C",'Mapa final'!$O$21),"")</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final'!$Y$22="Muy Baja",'Mapa final'!$AA$22="Catastrófico"),CONCATENATE("R2C",'Mapa final'!$O$22),"")</f>
        <v/>
      </c>
      <c r="AM47" s="26" t="str">
        <f>IF(AND('Mapa final'!$Y$23="Muy Baja",'Mapa final'!$AA$23="Catastrófico"),CONCATENATE("R2C",'Mapa final'!$O$23),"")</f>
        <v/>
      </c>
      <c r="AN47" s="1"/>
      <c r="AO47" s="1"/>
      <c r="AP47" s="1"/>
      <c r="AQ47" s="1"/>
      <c r="AR47" s="1"/>
      <c r="AS47" s="1"/>
      <c r="AT47" s="1"/>
    </row>
    <row r="48" spans="2:46" ht="15" customHeight="1" x14ac:dyDescent="0.25">
      <c r="B48" s="288"/>
      <c r="C48" s="211"/>
      <c r="D48" s="212"/>
      <c r="E48" s="223"/>
      <c r="F48" s="211"/>
      <c r="G48" s="211"/>
      <c r="H48" s="211"/>
      <c r="I48" s="212"/>
      <c r="J48" s="45" t="str">
        <f>IF(AND('Mapa final'!$Y$26="Muy Baja",'Mapa final'!$AA$26="Leve"),CONCATENATE("R3C",'Mapa final'!$O$26),"")</f>
        <v/>
      </c>
      <c r="K48" s="46" t="str">
        <f>IF(AND('Mapa final'!$Y$27="Muy Baja",'Mapa final'!$AA$27="Leve"),CONCATENATE("R3C",'Mapa final'!$O$27),"")</f>
        <v/>
      </c>
      <c r="L48" s="46" t="str">
        <f>IF(AND('Mapa final'!$Y$28="Muy Baja",'Mapa final'!$AA$28="Leve"),CONCATENATE("R3C",'Mapa final'!$O$28),"")</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final'!$Y$26="Muy Baja",'Mapa final'!$AA$26="Menor"),CONCATENATE("R3C",'Mapa final'!$O$26),"")</f>
        <v/>
      </c>
      <c r="Q48" s="46" t="str">
        <f>IF(AND('Mapa final'!$Y$27="Muy Baja",'Mapa final'!$AA$27="Menor"),CONCATENATE("R3C",'Mapa final'!$O$27),"")</f>
        <v/>
      </c>
      <c r="R48" s="46" t="str">
        <f>IF(AND('Mapa final'!$Y$28="Muy Baja",'Mapa final'!$AA$28="Menor"),CONCATENATE("R3C",'Mapa final'!$O$28),"")</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final'!$Y$26="Muy Baja",'Mapa final'!$AA$26="Moderado"),CONCATENATE("R3C",'Mapa final'!$O$26),"")</f>
        <v/>
      </c>
      <c r="W48" s="37" t="str">
        <f>IF(AND('Mapa final'!$Y$27="Muy Baja",'Mapa final'!$AA$27="Moderado"),CONCATENATE("R3C",'Mapa final'!$O$27),"")</f>
        <v/>
      </c>
      <c r="X48" s="37" t="str">
        <f>IF(AND('Mapa final'!$Y$28="Muy Baja",'Mapa final'!$AA$28="Moderado"),CONCATENATE("R3C",'Mapa final'!$O$28),"")</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final'!$Y$26="Muy Baja",'Mapa final'!$AA$26="Mayor"),CONCATENATE("R3C",'Mapa final'!$O$26),"")</f>
        <v/>
      </c>
      <c r="AC48" s="22" t="str">
        <f>IF(AND('Mapa final'!$Y$27="Muy Baja",'Mapa final'!$AA$27="Mayor"),CONCATENATE("R3C",'Mapa final'!$O$27),"")</f>
        <v/>
      </c>
      <c r="AD48" s="22" t="str">
        <f>IF(AND('Mapa final'!$Y$28="Muy Baja",'Mapa final'!$AA$28="Mayor"),CONCATENATE("R3C",'Mapa final'!$O$28),"")</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final'!$Y$26="Muy Baja",'Mapa final'!$AA$26="Catastrófico"),CONCATENATE("R3C",'Mapa final'!$O$26),"")</f>
        <v/>
      </c>
      <c r="AI48" s="25" t="str">
        <f>IF(AND('Mapa final'!$Y$27="Muy Baja",'Mapa final'!$AA$27="Catastrófico"),CONCATENATE("R3C",'Mapa final'!$O$27),"")</f>
        <v/>
      </c>
      <c r="AJ48" s="25" t="str">
        <f>IF(AND('Mapa final'!$Y$28="Muy Baja",'Mapa final'!$AA$28="Catastrófico"),CONCATENATE("R3C",'Mapa final'!$O$28),"")</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288"/>
      <c r="C49" s="211"/>
      <c r="D49" s="212"/>
      <c r="E49" s="223"/>
      <c r="F49" s="211"/>
      <c r="G49" s="211"/>
      <c r="H49" s="211"/>
      <c r="I49" s="212"/>
      <c r="J49" s="45" t="str">
        <f>IF(AND('Mapa final'!$Y$31="Muy Baja",'Mapa final'!$AA$31="Leve"),CONCATENATE("R4C",'Mapa final'!$O$31),"")</f>
        <v/>
      </c>
      <c r="K49" s="46" t="str">
        <f>IF(AND('Mapa final'!$Y$32="Muy Baja",'Mapa final'!$AA$32="Leve"),CONCATENATE("R4C",'Mapa final'!$O$32),"")</f>
        <v/>
      </c>
      <c r="L49" s="46" t="e">
        <f>IF(AND('Mapa final'!#REF!="Muy Baja",'Mapa final'!#REF!="Leve"),CONCATENATE("R4C",'Mapa final'!#REF!),"")</f>
        <v>#REF!</v>
      </c>
      <c r="M49" s="46" t="str">
        <f>IF(AND('Mapa final'!$Y$33="Muy Baja",'Mapa final'!$AA$33="Leve"),CONCATENATE("R4C",'Mapa final'!$O$33),"")</f>
        <v/>
      </c>
      <c r="N49" s="46" t="e">
        <f>IF(AND('Mapa final'!#REF!="Muy Baja",'Mapa final'!#REF!="Leve"),CONCATENATE("R4C",'Mapa final'!#REF!),"")</f>
        <v>#REF!</v>
      </c>
      <c r="O49" s="47" t="e">
        <f>IF(AND('Mapa final'!#REF!="Muy Baja",'Mapa final'!#REF!="Leve"),CONCATENATE("R4C",'Mapa final'!#REF!),"")</f>
        <v>#REF!</v>
      </c>
      <c r="P49" s="45" t="str">
        <f>IF(AND('Mapa final'!$Y$31="Muy Baja",'Mapa final'!$AA$31="Menor"),CONCATENATE("R4C",'Mapa final'!$O$31),"")</f>
        <v/>
      </c>
      <c r="Q49" s="46" t="str">
        <f>IF(AND('Mapa final'!$Y$32="Muy Baja",'Mapa final'!$AA$32="Menor"),CONCATENATE("R4C",'Mapa final'!$O$32),"")</f>
        <v/>
      </c>
      <c r="R49" s="46" t="e">
        <f>IF(AND('Mapa final'!#REF!="Muy Baja",'Mapa final'!#REF!="Menor"),CONCATENATE("R4C",'Mapa final'!#REF!),"")</f>
        <v>#REF!</v>
      </c>
      <c r="S49" s="46" t="str">
        <f>IF(AND('Mapa final'!$Y$33="Muy Baja",'Mapa final'!$AA$33="Menor"),CONCATENATE("R4C",'Mapa final'!$O$33),"")</f>
        <v/>
      </c>
      <c r="T49" s="46" t="e">
        <f>IF(AND('Mapa final'!#REF!="Muy Baja",'Mapa final'!#REF!="Menor"),CONCATENATE("R4C",'Mapa final'!#REF!),"")</f>
        <v>#REF!</v>
      </c>
      <c r="U49" s="47" t="e">
        <f>IF(AND('Mapa final'!#REF!="Muy Baja",'Mapa final'!#REF!="Menor"),CONCATENATE("R4C",'Mapa final'!#REF!),"")</f>
        <v>#REF!</v>
      </c>
      <c r="V49" s="36" t="str">
        <f>IF(AND('Mapa final'!$Y$31="Muy Baja",'Mapa final'!$AA$31="Moderado"),CONCATENATE("R4C",'Mapa final'!$O$31),"")</f>
        <v/>
      </c>
      <c r="W49" s="37" t="str">
        <f>IF(AND('Mapa final'!$Y$32="Muy Baja",'Mapa final'!$AA$32="Moderado"),CONCATENATE("R4C",'Mapa final'!$O$32),"")</f>
        <v/>
      </c>
      <c r="X49" s="37" t="e">
        <f>IF(AND('Mapa final'!#REF!="Muy Baja",'Mapa final'!#REF!="Moderado"),CONCATENATE("R4C",'Mapa final'!#REF!),"")</f>
        <v>#REF!</v>
      </c>
      <c r="Y49" s="37" t="str">
        <f>IF(AND('Mapa final'!$Y$33="Muy Baja",'Mapa final'!$AA$33="Moderado"),CONCATENATE("R4C",'Mapa final'!$O$33),"")</f>
        <v/>
      </c>
      <c r="Z49" s="37" t="e">
        <f>IF(AND('Mapa final'!#REF!="Muy Baja",'Mapa final'!#REF!="Moderado"),CONCATENATE("R4C",'Mapa final'!#REF!),"")</f>
        <v>#REF!</v>
      </c>
      <c r="AA49" s="38" t="e">
        <f>IF(AND('Mapa final'!#REF!="Muy Baja",'Mapa final'!#REF!="Moderado"),CONCATENATE("R4C",'Mapa final'!#REF!),"")</f>
        <v>#REF!</v>
      </c>
      <c r="AB49" s="21" t="str">
        <f>IF(AND('Mapa final'!$Y$31="Muy Baja",'Mapa final'!$AA$31="Mayor"),CONCATENATE("R4C",'Mapa final'!$O$31),"")</f>
        <v/>
      </c>
      <c r="AC49" s="22" t="str">
        <f>IF(AND('Mapa final'!$Y$32="Muy Baja",'Mapa final'!$AA$32="Mayor"),CONCATENATE("R4C",'Mapa final'!$O$32),"")</f>
        <v/>
      </c>
      <c r="AD49" s="22" t="e">
        <f>IF(AND('Mapa final'!#REF!="Muy Baja",'Mapa final'!#REF!="Mayor"),CONCATENATE("R4C",'Mapa final'!#REF!),"")</f>
        <v>#REF!</v>
      </c>
      <c r="AE49" s="22" t="str">
        <f>IF(AND('Mapa final'!$Y$33="Muy Baja",'Mapa final'!$AA$33="Mayor"),CONCATENATE("R4C",'Mapa final'!$O$33),"")</f>
        <v/>
      </c>
      <c r="AF49" s="22" t="e">
        <f>IF(AND('Mapa final'!#REF!="Muy Baja",'Mapa final'!#REF!="Mayor"),CONCATENATE("R4C",'Mapa final'!#REF!),"")</f>
        <v>#REF!</v>
      </c>
      <c r="AG49" s="23" t="e">
        <f>IF(AND('Mapa final'!#REF!="Muy Baja",'Mapa final'!#REF!="Mayor"),CONCATENATE("R4C",'Mapa final'!#REF!),"")</f>
        <v>#REF!</v>
      </c>
      <c r="AH49" s="24" t="str">
        <f>IF(AND('Mapa final'!$Y$31="Muy Baja",'Mapa final'!$AA$31="Catastrófico"),CONCATENATE("R4C",'Mapa final'!$O$31),"")</f>
        <v/>
      </c>
      <c r="AI49" s="25" t="str">
        <f>IF(AND('Mapa final'!$Y$32="Muy Baja",'Mapa final'!$AA$32="Catastrófico"),CONCATENATE("R4C",'Mapa final'!$O$32),"")</f>
        <v/>
      </c>
      <c r="AJ49" s="25" t="e">
        <f>IF(AND('Mapa final'!#REF!="Muy Baja",'Mapa final'!#REF!="Catastrófico"),CONCATENATE("R4C",'Mapa final'!#REF!),"")</f>
        <v>#REF!</v>
      </c>
      <c r="AK49" s="25" t="str">
        <f>IF(AND('Mapa final'!$Y$33="Muy Baja",'Mapa final'!$AA$33="Catastrófico"),CONCATENATE("R4C",'Mapa final'!$O$33),"")</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288"/>
      <c r="C50" s="211"/>
      <c r="D50" s="212"/>
      <c r="E50" s="223"/>
      <c r="F50" s="211"/>
      <c r="G50" s="211"/>
      <c r="H50" s="211"/>
      <c r="I50" s="212"/>
      <c r="J50" s="45" t="str">
        <f>IF(AND('Mapa final'!$Y$36="Muy Baja",'Mapa final'!$AA$36="Leve"),CONCATENATE("R5C",'Mapa final'!$O$36),"")</f>
        <v/>
      </c>
      <c r="K50" s="46" t="str">
        <f>IF(AND('Mapa final'!$Y$37="Muy Baja",'Mapa final'!$AA$37="Leve"),CONCATENATE("R5C",'Mapa final'!$O$37),"")</f>
        <v/>
      </c>
      <c r="L50" s="46" t="str">
        <f>IF(AND('Mapa final'!$Y$38="Muy Baja",'Mapa final'!$AA$38="Leve"),CONCATENATE("R5C",'Mapa final'!$O$38),"")</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final'!$Y$36="Muy Baja",'Mapa final'!$AA$36="Menor"),CONCATENATE("R5C",'Mapa final'!$O$36),"")</f>
        <v/>
      </c>
      <c r="Q50" s="46" t="str">
        <f>IF(AND('Mapa final'!$Y$37="Muy Baja",'Mapa final'!$AA$37="Menor"),CONCATENATE("R5C",'Mapa final'!$O$37),"")</f>
        <v/>
      </c>
      <c r="R50" s="46" t="str">
        <f>IF(AND('Mapa final'!$Y$38="Muy Baja",'Mapa final'!$AA$38="Menor"),CONCATENATE("R5C",'Mapa final'!$O$38),"")</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final'!$Y$36="Muy Baja",'Mapa final'!$AA$36="Moderado"),CONCATENATE("R5C",'Mapa final'!$O$36),"")</f>
        <v/>
      </c>
      <c r="W50" s="37" t="str">
        <f>IF(AND('Mapa final'!$Y$37="Muy Baja",'Mapa final'!$AA$37="Moderado"),CONCATENATE("R5C",'Mapa final'!$O$37),"")</f>
        <v/>
      </c>
      <c r="X50" s="37" t="str">
        <f>IF(AND('Mapa final'!$Y$38="Muy Baja",'Mapa final'!$AA$38="Moderado"),CONCATENATE("R5C",'Mapa final'!$O$38),"")</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final'!$Y$36="Muy Baja",'Mapa final'!$AA$36="Mayor"),CONCATENATE("R5C",'Mapa final'!$O$36),"")</f>
        <v/>
      </c>
      <c r="AC50" s="22" t="str">
        <f>IF(AND('Mapa final'!$Y$37="Muy Baja",'Mapa final'!$AA$37="Mayor"),CONCATENATE("R5C",'Mapa final'!$O$37),"")</f>
        <v/>
      </c>
      <c r="AD50" s="22" t="str">
        <f>IF(AND('Mapa final'!$Y$38="Muy Baja",'Mapa final'!$AA$38="Mayor"),CONCATENATE("R5C",'Mapa final'!$O$38),"")</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final'!$Y$36="Muy Baja",'Mapa final'!$AA$36="Catastrófico"),CONCATENATE("R5C",'Mapa final'!$O$36),"")</f>
        <v/>
      </c>
      <c r="AI50" s="25" t="str">
        <f>IF(AND('Mapa final'!$Y$37="Muy Baja",'Mapa final'!$AA$37="Catastrófico"),CONCATENATE("R5C",'Mapa final'!$O$37),"")</f>
        <v/>
      </c>
      <c r="AJ50" s="25" t="str">
        <f>IF(AND('Mapa final'!$Y$38="Muy Baja",'Mapa final'!$AA$38="Catastrófico"),CONCATENATE("R5C",'Mapa final'!$O$38),"")</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288"/>
      <c r="C51" s="211"/>
      <c r="D51" s="212"/>
      <c r="E51" s="223"/>
      <c r="F51" s="211"/>
      <c r="G51" s="211"/>
      <c r="H51" s="211"/>
      <c r="I51" s="212"/>
      <c r="J51" s="45" t="str">
        <f>IF(AND('Mapa final'!$Y$41="Muy Baja",'Mapa final'!$AA$41="Leve"),CONCATENATE("R6C",'Mapa final'!$O$41),"")</f>
        <v/>
      </c>
      <c r="K51" s="46" t="str">
        <f>IF(AND('Mapa final'!$Y$42="Muy Baja",'Mapa final'!$AA$42="Leve"),CONCATENATE("R6C",'Mapa final'!$O$42),"")</f>
        <v/>
      </c>
      <c r="L51" s="46" t="str">
        <f>IF(AND('Mapa final'!$Y$43="Muy Baja",'Mapa final'!$AA$43="Leve"),CONCATENATE("R6C",'Mapa final'!$O$43),"")</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final'!$Y$41="Muy Baja",'Mapa final'!$AA$41="Menor"),CONCATENATE("R6C",'Mapa final'!$O$41),"")</f>
        <v/>
      </c>
      <c r="Q51" s="46" t="str">
        <f>IF(AND('Mapa final'!$Y$42="Muy Baja",'Mapa final'!$AA$42="Menor"),CONCATENATE("R6C",'Mapa final'!$O$42),"")</f>
        <v/>
      </c>
      <c r="R51" s="46" t="str">
        <f>IF(AND('Mapa final'!$Y$43="Muy Baja",'Mapa final'!$AA$43="Menor"),CONCATENATE("R6C",'Mapa final'!$O$43),"")</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final'!$Y$41="Muy Baja",'Mapa final'!$AA$41="Moderado"),CONCATENATE("R6C",'Mapa final'!$O$41),"")</f>
        <v/>
      </c>
      <c r="W51" s="37" t="str">
        <f>IF(AND('Mapa final'!$Y$42="Muy Baja",'Mapa final'!$AA$42="Moderado"),CONCATENATE("R6C",'Mapa final'!$O$42),"")</f>
        <v/>
      </c>
      <c r="X51" s="37" t="str">
        <f>IF(AND('Mapa final'!$Y$43="Muy Baja",'Mapa final'!$AA$43="Moderado"),CONCATENATE("R6C",'Mapa final'!$O$43),"")</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final'!$Y$41="Muy Baja",'Mapa final'!$AA$41="Mayor"),CONCATENATE("R6C",'Mapa final'!$O$41),"")</f>
        <v/>
      </c>
      <c r="AC51" s="22" t="str">
        <f>IF(AND('Mapa final'!$Y$42="Muy Baja",'Mapa final'!$AA$42="Mayor"),CONCATENATE("R6C",'Mapa final'!$O$42),"")</f>
        <v/>
      </c>
      <c r="AD51" s="22" t="str">
        <f>IF(AND('Mapa final'!$Y$43="Muy Baja",'Mapa final'!$AA$43="Mayor"),CONCATENATE("R6C",'Mapa final'!$O$43),"")</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final'!$Y$41="Muy Baja",'Mapa final'!$AA$41="Catastrófico"),CONCATENATE("R6C",'Mapa final'!$O$41),"")</f>
        <v/>
      </c>
      <c r="AI51" s="25" t="str">
        <f>IF(AND('Mapa final'!$Y$42="Muy Baja",'Mapa final'!$AA$42="Catastrófico"),CONCATENATE("R6C",'Mapa final'!$O$42),"")</f>
        <v/>
      </c>
      <c r="AJ51" s="25" t="str">
        <f>IF(AND('Mapa final'!$Y$43="Muy Baja",'Mapa final'!$AA$43="Catastrófico"),CONCATENATE("R6C",'Mapa final'!$O$43),"")</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288"/>
      <c r="C52" s="211"/>
      <c r="D52" s="212"/>
      <c r="E52" s="223"/>
      <c r="F52" s="211"/>
      <c r="G52" s="211"/>
      <c r="H52" s="211"/>
      <c r="I52" s="212"/>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288"/>
      <c r="C53" s="211"/>
      <c r="D53" s="212"/>
      <c r="E53" s="223"/>
      <c r="F53" s="211"/>
      <c r="G53" s="211"/>
      <c r="H53" s="211"/>
      <c r="I53" s="212"/>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288"/>
      <c r="C54" s="211"/>
      <c r="D54" s="212"/>
      <c r="E54" s="223"/>
      <c r="F54" s="211"/>
      <c r="G54" s="211"/>
      <c r="H54" s="211"/>
      <c r="I54" s="212"/>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45"/>
      <c r="C55" s="290"/>
      <c r="D55" s="246"/>
      <c r="E55" s="257"/>
      <c r="F55" s="281"/>
      <c r="G55" s="281"/>
      <c r="H55" s="281"/>
      <c r="I55" s="260"/>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296" t="s">
        <v>104</v>
      </c>
      <c r="K56" s="280"/>
      <c r="L56" s="280"/>
      <c r="M56" s="280"/>
      <c r="N56" s="280"/>
      <c r="O56" s="262"/>
      <c r="P56" s="296" t="s">
        <v>105</v>
      </c>
      <c r="Q56" s="280"/>
      <c r="R56" s="280"/>
      <c r="S56" s="280"/>
      <c r="T56" s="280"/>
      <c r="U56" s="262"/>
      <c r="V56" s="296" t="s">
        <v>106</v>
      </c>
      <c r="W56" s="280"/>
      <c r="X56" s="280"/>
      <c r="Y56" s="280"/>
      <c r="Z56" s="280"/>
      <c r="AA56" s="262"/>
      <c r="AB56" s="296" t="s">
        <v>107</v>
      </c>
      <c r="AC56" s="280"/>
      <c r="AD56" s="280"/>
      <c r="AE56" s="280"/>
      <c r="AF56" s="280"/>
      <c r="AG56" s="262"/>
      <c r="AH56" s="296" t="s">
        <v>108</v>
      </c>
      <c r="AI56" s="280"/>
      <c r="AJ56" s="280"/>
      <c r="AK56" s="280"/>
      <c r="AL56" s="280"/>
      <c r="AM56" s="262"/>
    </row>
    <row r="57" spans="2:39" ht="15.75" customHeight="1" x14ac:dyDescent="0.25">
      <c r="B57" s="1"/>
      <c r="C57" s="1"/>
      <c r="D57" s="1"/>
      <c r="E57" s="1"/>
      <c r="F57" s="1"/>
      <c r="G57" s="1"/>
      <c r="H57" s="1"/>
      <c r="I57" s="1"/>
      <c r="J57" s="223"/>
      <c r="K57" s="211"/>
      <c r="L57" s="211"/>
      <c r="M57" s="211"/>
      <c r="N57" s="211"/>
      <c r="O57" s="212"/>
      <c r="P57" s="223"/>
      <c r="Q57" s="211"/>
      <c r="R57" s="211"/>
      <c r="S57" s="211"/>
      <c r="T57" s="211"/>
      <c r="U57" s="212"/>
      <c r="V57" s="223"/>
      <c r="W57" s="211"/>
      <c r="X57" s="211"/>
      <c r="Y57" s="211"/>
      <c r="Z57" s="211"/>
      <c r="AA57" s="212"/>
      <c r="AB57" s="223"/>
      <c r="AC57" s="211"/>
      <c r="AD57" s="211"/>
      <c r="AE57" s="211"/>
      <c r="AF57" s="211"/>
      <c r="AG57" s="212"/>
      <c r="AH57" s="223"/>
      <c r="AI57" s="211"/>
      <c r="AJ57" s="211"/>
      <c r="AK57" s="211"/>
      <c r="AL57" s="211"/>
      <c r="AM57" s="212"/>
    </row>
    <row r="58" spans="2:39" ht="15.75" customHeight="1" x14ac:dyDescent="0.25">
      <c r="B58" s="1"/>
      <c r="C58" s="1"/>
      <c r="D58" s="1"/>
      <c r="E58" s="1"/>
      <c r="F58" s="1"/>
      <c r="G58" s="1"/>
      <c r="H58" s="1"/>
      <c r="I58" s="1"/>
      <c r="J58" s="223"/>
      <c r="K58" s="211"/>
      <c r="L58" s="211"/>
      <c r="M58" s="211"/>
      <c r="N58" s="211"/>
      <c r="O58" s="212"/>
      <c r="P58" s="223"/>
      <c r="Q58" s="211"/>
      <c r="R58" s="211"/>
      <c r="S58" s="211"/>
      <c r="T58" s="211"/>
      <c r="U58" s="212"/>
      <c r="V58" s="223"/>
      <c r="W58" s="211"/>
      <c r="X58" s="211"/>
      <c r="Y58" s="211"/>
      <c r="Z58" s="211"/>
      <c r="AA58" s="212"/>
      <c r="AB58" s="223"/>
      <c r="AC58" s="211"/>
      <c r="AD58" s="211"/>
      <c r="AE58" s="211"/>
      <c r="AF58" s="211"/>
      <c r="AG58" s="212"/>
      <c r="AH58" s="223"/>
      <c r="AI58" s="211"/>
      <c r="AJ58" s="211"/>
      <c r="AK58" s="211"/>
      <c r="AL58" s="211"/>
      <c r="AM58" s="212"/>
    </row>
    <row r="59" spans="2:39" ht="15.75" customHeight="1" x14ac:dyDescent="0.25">
      <c r="B59" s="1"/>
      <c r="C59" s="1"/>
      <c r="D59" s="1"/>
      <c r="E59" s="1"/>
      <c r="F59" s="1"/>
      <c r="G59" s="1"/>
      <c r="H59" s="1"/>
      <c r="I59" s="1"/>
      <c r="J59" s="223"/>
      <c r="K59" s="211"/>
      <c r="L59" s="211"/>
      <c r="M59" s="211"/>
      <c r="N59" s="211"/>
      <c r="O59" s="212"/>
      <c r="P59" s="223"/>
      <c r="Q59" s="211"/>
      <c r="R59" s="211"/>
      <c r="S59" s="211"/>
      <c r="T59" s="211"/>
      <c r="U59" s="212"/>
      <c r="V59" s="223"/>
      <c r="W59" s="211"/>
      <c r="X59" s="211"/>
      <c r="Y59" s="211"/>
      <c r="Z59" s="211"/>
      <c r="AA59" s="212"/>
      <c r="AB59" s="223"/>
      <c r="AC59" s="211"/>
      <c r="AD59" s="211"/>
      <c r="AE59" s="211"/>
      <c r="AF59" s="211"/>
      <c r="AG59" s="212"/>
      <c r="AH59" s="223"/>
      <c r="AI59" s="211"/>
      <c r="AJ59" s="211"/>
      <c r="AK59" s="211"/>
      <c r="AL59" s="211"/>
      <c r="AM59" s="212"/>
    </row>
    <row r="60" spans="2:39" ht="15.75" customHeight="1" x14ac:dyDescent="0.25">
      <c r="B60" s="1"/>
      <c r="C60" s="1"/>
      <c r="D60" s="1"/>
      <c r="E60" s="1"/>
      <c r="F60" s="1"/>
      <c r="G60" s="1"/>
      <c r="H60" s="1"/>
      <c r="I60" s="1"/>
      <c r="J60" s="223"/>
      <c r="K60" s="211"/>
      <c r="L60" s="211"/>
      <c r="M60" s="211"/>
      <c r="N60" s="211"/>
      <c r="O60" s="212"/>
      <c r="P60" s="223"/>
      <c r="Q60" s="211"/>
      <c r="R60" s="211"/>
      <c r="S60" s="211"/>
      <c r="T60" s="211"/>
      <c r="U60" s="212"/>
      <c r="V60" s="223"/>
      <c r="W60" s="211"/>
      <c r="X60" s="211"/>
      <c r="Y60" s="211"/>
      <c r="Z60" s="211"/>
      <c r="AA60" s="212"/>
      <c r="AB60" s="223"/>
      <c r="AC60" s="211"/>
      <c r="AD60" s="211"/>
      <c r="AE60" s="211"/>
      <c r="AF60" s="211"/>
      <c r="AG60" s="212"/>
      <c r="AH60" s="223"/>
      <c r="AI60" s="211"/>
      <c r="AJ60" s="211"/>
      <c r="AK60" s="211"/>
      <c r="AL60" s="211"/>
      <c r="AM60" s="212"/>
    </row>
    <row r="61" spans="2:39" ht="15.75" customHeight="1" x14ac:dyDescent="0.25">
      <c r="B61" s="1"/>
      <c r="C61" s="1"/>
      <c r="D61" s="1"/>
      <c r="E61" s="1"/>
      <c r="F61" s="1"/>
      <c r="G61" s="1"/>
      <c r="H61" s="1"/>
      <c r="I61" s="1"/>
      <c r="J61" s="257"/>
      <c r="K61" s="281"/>
      <c r="L61" s="281"/>
      <c r="M61" s="281"/>
      <c r="N61" s="281"/>
      <c r="O61" s="260"/>
      <c r="P61" s="257"/>
      <c r="Q61" s="281"/>
      <c r="R61" s="281"/>
      <c r="S61" s="281"/>
      <c r="T61" s="281"/>
      <c r="U61" s="260"/>
      <c r="V61" s="257"/>
      <c r="W61" s="281"/>
      <c r="X61" s="281"/>
      <c r="Y61" s="281"/>
      <c r="Z61" s="281"/>
      <c r="AA61" s="260"/>
      <c r="AB61" s="257"/>
      <c r="AC61" s="281"/>
      <c r="AD61" s="281"/>
      <c r="AE61" s="281"/>
      <c r="AF61" s="281"/>
      <c r="AG61" s="260"/>
      <c r="AH61" s="257"/>
      <c r="AI61" s="281"/>
      <c r="AJ61" s="281"/>
      <c r="AK61" s="281"/>
      <c r="AL61" s="281"/>
      <c r="AM61" s="260"/>
    </row>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8"/>
  <sheetViews>
    <sheetView topLeftCell="A8"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298" t="s">
        <v>110</v>
      </c>
      <c r="C1" s="211"/>
      <c r="D1" s="211"/>
    </row>
    <row r="2" spans="2:4" x14ac:dyDescent="0.25">
      <c r="B2" s="1"/>
      <c r="C2" s="1"/>
      <c r="D2" s="1"/>
    </row>
    <row r="3" spans="2:4" ht="25.5" x14ac:dyDescent="0.2">
      <c r="B3" s="52"/>
      <c r="C3" s="53" t="s">
        <v>111</v>
      </c>
      <c r="D3" s="53" t="s">
        <v>94</v>
      </c>
    </row>
    <row r="4" spans="2:4" ht="51" x14ac:dyDescent="0.2">
      <c r="B4" s="54" t="s">
        <v>112</v>
      </c>
      <c r="C4" s="55" t="s">
        <v>113</v>
      </c>
      <c r="D4" s="56">
        <v>0.2</v>
      </c>
    </row>
    <row r="5" spans="2:4" ht="51" x14ac:dyDescent="0.2">
      <c r="B5" s="57" t="s">
        <v>114</v>
      </c>
      <c r="C5" s="58" t="s">
        <v>115</v>
      </c>
      <c r="D5" s="59">
        <v>0.4</v>
      </c>
    </row>
    <row r="6" spans="2:4" ht="51" x14ac:dyDescent="0.2">
      <c r="B6" s="60" t="s">
        <v>116</v>
      </c>
      <c r="C6" s="58" t="s">
        <v>117</v>
      </c>
      <c r="D6" s="59">
        <v>0.6</v>
      </c>
    </row>
    <row r="7" spans="2:4" ht="76.5" x14ac:dyDescent="0.2">
      <c r="B7" s="61" t="s">
        <v>118</v>
      </c>
      <c r="C7" s="58" t="s">
        <v>119</v>
      </c>
      <c r="D7" s="59">
        <v>0.8</v>
      </c>
    </row>
    <row r="8" spans="2:4" ht="51" x14ac:dyDescent="0.2">
      <c r="B8" s="62" t="s">
        <v>120</v>
      </c>
      <c r="C8" s="58" t="s">
        <v>121</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224"/>
  <sheetViews>
    <sheetView topLeftCell="C7" zoomScale="70" zoomScaleNormal="70" workbookViewId="0">
      <selection activeCell="C7" sqref="C7"/>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299" t="s">
        <v>122</v>
      </c>
      <c r="C1" s="211"/>
      <c r="D1" s="211"/>
    </row>
    <row r="2" spans="1:4" x14ac:dyDescent="0.25">
      <c r="A2" s="1"/>
      <c r="B2" s="1"/>
      <c r="C2" s="1"/>
      <c r="D2" s="1"/>
    </row>
    <row r="3" spans="1:4" ht="30" x14ac:dyDescent="0.25">
      <c r="A3" s="1"/>
      <c r="B3" s="63"/>
      <c r="C3" s="64" t="s">
        <v>123</v>
      </c>
      <c r="D3" s="64" t="s">
        <v>124</v>
      </c>
    </row>
    <row r="4" spans="1:4" ht="33.75" x14ac:dyDescent="0.25">
      <c r="A4" s="65" t="s">
        <v>125</v>
      </c>
      <c r="B4" s="66" t="s">
        <v>126</v>
      </c>
      <c r="C4" s="67" t="s">
        <v>127</v>
      </c>
      <c r="D4" s="68" t="s">
        <v>128</v>
      </c>
    </row>
    <row r="5" spans="1:4" ht="67.5" x14ac:dyDescent="0.25">
      <c r="A5" s="65" t="s">
        <v>129</v>
      </c>
      <c r="B5" s="69" t="s">
        <v>130</v>
      </c>
      <c r="C5" s="70" t="s">
        <v>131</v>
      </c>
      <c r="D5" s="71" t="s">
        <v>132</v>
      </c>
    </row>
    <row r="6" spans="1:4" ht="67.5" x14ac:dyDescent="0.25">
      <c r="A6" s="65" t="s">
        <v>100</v>
      </c>
      <c r="B6" s="72" t="s">
        <v>133</v>
      </c>
      <c r="C6" s="98" t="s">
        <v>134</v>
      </c>
      <c r="D6" s="99" t="s">
        <v>215</v>
      </c>
    </row>
    <row r="7" spans="1:4" ht="101.25" x14ac:dyDescent="0.25">
      <c r="A7" s="65" t="s">
        <v>136</v>
      </c>
      <c r="B7" s="73" t="s">
        <v>137</v>
      </c>
      <c r="C7" s="70" t="s">
        <v>138</v>
      </c>
      <c r="D7" s="71" t="s">
        <v>214</v>
      </c>
    </row>
    <row r="8" spans="1:4" ht="67.5" x14ac:dyDescent="0.25">
      <c r="A8" s="65" t="s">
        <v>140</v>
      </c>
      <c r="B8" s="74" t="s">
        <v>141</v>
      </c>
      <c r="C8" s="70" t="s">
        <v>142</v>
      </c>
      <c r="D8" s="71" t="s">
        <v>143</v>
      </c>
    </row>
    <row r="9" spans="1:4" ht="20.25" x14ac:dyDescent="0.25">
      <c r="A9" s="65"/>
      <c r="B9" s="65"/>
      <c r="C9" s="75"/>
      <c r="D9" s="75"/>
    </row>
    <row r="10" spans="1:4" ht="16.5" x14ac:dyDescent="0.25">
      <c r="A10" s="65"/>
      <c r="B10" s="76"/>
      <c r="C10" s="76"/>
      <c r="D10" s="76"/>
    </row>
    <row r="11" spans="1:4" x14ac:dyDescent="0.25">
      <c r="A11" s="65"/>
      <c r="B11" s="65" t="s">
        <v>144</v>
      </c>
      <c r="C11" s="65" t="s">
        <v>145</v>
      </c>
      <c r="D11" s="65" t="s">
        <v>146</v>
      </c>
    </row>
    <row r="12" spans="1:4" x14ac:dyDescent="0.25">
      <c r="A12" s="65"/>
      <c r="B12" s="65" t="s">
        <v>147</v>
      </c>
      <c r="C12" s="65" t="s">
        <v>148</v>
      </c>
      <c r="D12" s="65" t="s">
        <v>149</v>
      </c>
    </row>
    <row r="13" spans="1:4" x14ac:dyDescent="0.25">
      <c r="A13" s="65"/>
      <c r="B13" s="65"/>
      <c r="C13" s="65" t="s">
        <v>150</v>
      </c>
      <c r="D13" s="65" t="s">
        <v>151</v>
      </c>
    </row>
    <row r="14" spans="1:4" x14ac:dyDescent="0.25">
      <c r="A14" s="65"/>
      <c r="B14" s="65"/>
      <c r="C14" s="65" t="s">
        <v>152</v>
      </c>
      <c r="D14" s="65" t="s">
        <v>153</v>
      </c>
    </row>
    <row r="15" spans="1:4" x14ac:dyDescent="0.25">
      <c r="A15" s="65"/>
      <c r="B15" s="65"/>
      <c r="C15" s="65" t="s">
        <v>154</v>
      </c>
      <c r="D15" s="65" t="s">
        <v>155</v>
      </c>
    </row>
    <row r="209" spans="2:8" ht="15.75" customHeight="1" x14ac:dyDescent="0.25">
      <c r="B209" s="77" t="s">
        <v>156</v>
      </c>
      <c r="C209" s="77" t="s">
        <v>157</v>
      </c>
      <c r="D209" s="78" t="s">
        <v>156</v>
      </c>
      <c r="E209" s="78" t="s">
        <v>157</v>
      </c>
    </row>
    <row r="210" spans="2:8" ht="15.75" customHeight="1" x14ac:dyDescent="0.35">
      <c r="B210" s="79" t="s">
        <v>158</v>
      </c>
      <c r="C210" s="79" t="s">
        <v>159</v>
      </c>
      <c r="D210" s="80" t="s">
        <v>158</v>
      </c>
      <c r="F210" s="80" t="str">
        <f t="shared" ref="F210:F221" si="0">IF(NOT(ISBLANK(D210)),D210,IF(NOT(ISBLANK(E210)),"     "&amp;E210,FALSE))</f>
        <v>Afectación Económica o presupuestal</v>
      </c>
      <c r="G210" s="80" t="s">
        <v>158</v>
      </c>
      <c r="H210" s="80" t="str">
        <f ca="1">IF(NOT(ISERROR(MATCH(G210,ANCHORARRAY(B221),0))),F223&amp;"Por favor no seleccionar los criterios de impacto",G210)</f>
        <v>Afectación Económica o presupuestal</v>
      </c>
    </row>
    <row r="211" spans="2:8" ht="15.75" customHeight="1" x14ac:dyDescent="0.35">
      <c r="B211" s="79" t="s">
        <v>158</v>
      </c>
      <c r="C211" s="79" t="s">
        <v>131</v>
      </c>
      <c r="E211" s="80" t="s">
        <v>159</v>
      </c>
      <c r="F211" s="80" t="str">
        <f t="shared" si="0"/>
        <v xml:space="preserve">     Afectación menor a 10 SMLMV .</v>
      </c>
    </row>
    <row r="212" spans="2:8" ht="15.75" customHeight="1" x14ac:dyDescent="0.35">
      <c r="B212" s="79" t="s">
        <v>158</v>
      </c>
      <c r="C212" s="79" t="s">
        <v>134</v>
      </c>
      <c r="E212" s="80" t="s">
        <v>131</v>
      </c>
      <c r="F212" s="80" t="str">
        <f t="shared" si="0"/>
        <v xml:space="preserve">     Entre 10 y 50 SMLMV </v>
      </c>
    </row>
    <row r="213" spans="2:8" ht="15.75" customHeight="1" x14ac:dyDescent="0.35">
      <c r="B213" s="79" t="s">
        <v>158</v>
      </c>
      <c r="C213" s="79" t="s">
        <v>138</v>
      </c>
      <c r="E213" s="80" t="s">
        <v>134</v>
      </c>
      <c r="F213" s="80" t="str">
        <f t="shared" si="0"/>
        <v xml:space="preserve">     Entre 50 y 100 SMLMV </v>
      </c>
    </row>
    <row r="214" spans="2:8" ht="15.75" customHeight="1" x14ac:dyDescent="0.35">
      <c r="B214" s="79" t="s">
        <v>158</v>
      </c>
      <c r="C214" s="79" t="s">
        <v>142</v>
      </c>
      <c r="E214" s="80" t="s">
        <v>138</v>
      </c>
      <c r="F214" s="80" t="str">
        <f t="shared" si="0"/>
        <v xml:space="preserve">     Entre 100 y 500 SMLMV </v>
      </c>
    </row>
    <row r="215" spans="2:8" ht="15.75" customHeight="1" x14ac:dyDescent="0.35">
      <c r="B215" s="79" t="s">
        <v>124</v>
      </c>
      <c r="C215" s="79" t="s">
        <v>128</v>
      </c>
      <c r="E215" s="80" t="s">
        <v>142</v>
      </c>
      <c r="F215" s="80" t="str">
        <f t="shared" si="0"/>
        <v xml:space="preserve">     Mayor a 500 SMLMV </v>
      </c>
    </row>
    <row r="216" spans="2:8" ht="15.75" customHeight="1" x14ac:dyDescent="0.35">
      <c r="B216" s="79" t="s">
        <v>124</v>
      </c>
      <c r="C216" s="79" t="s">
        <v>132</v>
      </c>
      <c r="D216" s="80" t="s">
        <v>124</v>
      </c>
      <c r="F216" s="80" t="str">
        <f t="shared" si="0"/>
        <v>Pérdida Reputacional</v>
      </c>
    </row>
    <row r="217" spans="2:8" ht="15.75" customHeight="1" x14ac:dyDescent="0.35">
      <c r="B217" s="79" t="s">
        <v>124</v>
      </c>
      <c r="C217" s="79" t="s">
        <v>135</v>
      </c>
      <c r="E217" s="80" t="s">
        <v>128</v>
      </c>
      <c r="F217" s="80" t="str">
        <f t="shared" si="0"/>
        <v xml:space="preserve">     El riesgo afecta la imagen de alguna área de la organización</v>
      </c>
    </row>
    <row r="218" spans="2:8" ht="15.75" customHeight="1" x14ac:dyDescent="0.35">
      <c r="B218" s="79" t="s">
        <v>124</v>
      </c>
      <c r="C218" s="79" t="s">
        <v>139</v>
      </c>
      <c r="E218" s="80" t="s">
        <v>132</v>
      </c>
      <c r="F218" s="80" t="str">
        <f t="shared" si="0"/>
        <v xml:space="preserve">     El riesgo afecta la imagen de la entidad internamente, de conocimiento general, nivel interno, de junta dircetiva y accionistas y/o de provedores</v>
      </c>
    </row>
    <row r="219" spans="2:8" ht="15.75" customHeight="1" x14ac:dyDescent="0.35">
      <c r="B219" s="79" t="s">
        <v>124</v>
      </c>
      <c r="C219" s="79" t="s">
        <v>143</v>
      </c>
      <c r="E219" s="80" t="s">
        <v>135</v>
      </c>
      <c r="F219" s="80" t="str">
        <f t="shared" si="0"/>
        <v xml:space="preserve">     El riesgo afecta la imagen de la entidad con algunos usuarios de relevancia frente al logro de los objetivos</v>
      </c>
    </row>
    <row r="220" spans="2:8" ht="15.75" customHeight="1" x14ac:dyDescent="0.25">
      <c r="B220" s="81"/>
      <c r="C220" s="81"/>
      <c r="E220" s="80" t="s">
        <v>139</v>
      </c>
      <c r="F220" s="80" t="str">
        <f t="shared" si="0"/>
        <v xml:space="preserve">     El riesgo afecta la imagen de de la entidad con efecto publicitario sostenido a nivel de sector administrativo, nivel departamental o municipal</v>
      </c>
    </row>
    <row r="221" spans="2:8" ht="15.75" customHeight="1" x14ac:dyDescent="0.25">
      <c r="B221" s="81" t="str">
        <f ca="1">IFERROR(__xludf.DUMMYFUNCTION("ARRAY_CONSTRAIN(ARRAYFORMULA(UNIQUE('Tabla Impacto'!$B$209:$B$219)), 3, 1)"),"Criterios")</f>
        <v>Criterios</v>
      </c>
      <c r="C221" s="81"/>
      <c r="E221" s="80" t="s">
        <v>143</v>
      </c>
      <c r="F221" s="80" t="str">
        <f t="shared" si="0"/>
        <v xml:space="preserve">     El riesgo afecta la imagen de la entidad a nivel nacional, con efecto publicitarios sostenible a nivel país</v>
      </c>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160</v>
      </c>
    </row>
    <row r="224" spans="2:8" ht="15.75" customHeight="1" x14ac:dyDescent="0.25">
      <c r="B224" s="78"/>
      <c r="C224" s="78"/>
      <c r="F224" s="82" t="s">
        <v>161</v>
      </c>
    </row>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5"/>
  <sheetViews>
    <sheetView workbookViewId="0">
      <selection activeCell="E6" sqref="E6"/>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305" t="s">
        <v>162</v>
      </c>
      <c r="C1" s="306"/>
      <c r="D1" s="306"/>
      <c r="E1" s="306"/>
      <c r="F1" s="307"/>
    </row>
    <row r="2" spans="2:6" ht="12.75" customHeight="1" x14ac:dyDescent="0.25">
      <c r="B2" s="83"/>
      <c r="C2" s="83"/>
      <c r="D2" s="83"/>
      <c r="E2" s="83"/>
      <c r="F2" s="83"/>
    </row>
    <row r="3" spans="2:6" ht="12.75" customHeight="1" x14ac:dyDescent="0.2">
      <c r="B3" s="308" t="s">
        <v>163</v>
      </c>
      <c r="C3" s="306"/>
      <c r="D3" s="309"/>
      <c r="E3" s="84" t="s">
        <v>164</v>
      </c>
      <c r="F3" s="85" t="s">
        <v>165</v>
      </c>
    </row>
    <row r="4" spans="2:6" ht="12.75" customHeight="1" x14ac:dyDescent="0.2">
      <c r="B4" s="310" t="s">
        <v>166</v>
      </c>
      <c r="C4" s="313" t="s">
        <v>86</v>
      </c>
      <c r="D4" s="86" t="s">
        <v>167</v>
      </c>
      <c r="E4" s="87" t="s">
        <v>168</v>
      </c>
      <c r="F4" s="88">
        <v>0.25</v>
      </c>
    </row>
    <row r="5" spans="2:6" ht="12.75" customHeight="1" x14ac:dyDescent="0.2">
      <c r="B5" s="311"/>
      <c r="C5" s="314"/>
      <c r="D5" s="89" t="s">
        <v>169</v>
      </c>
      <c r="E5" s="90" t="s">
        <v>170</v>
      </c>
      <c r="F5" s="91">
        <v>0.15</v>
      </c>
    </row>
    <row r="6" spans="2:6" ht="12.75" customHeight="1" x14ac:dyDescent="0.2">
      <c r="B6" s="311"/>
      <c r="C6" s="303"/>
      <c r="D6" s="89" t="s">
        <v>171</v>
      </c>
      <c r="E6" s="90" t="s">
        <v>172</v>
      </c>
      <c r="F6" s="91">
        <v>0.1</v>
      </c>
    </row>
    <row r="7" spans="2:6" ht="12.75" customHeight="1" x14ac:dyDescent="0.2">
      <c r="B7" s="311"/>
      <c r="C7" s="302" t="s">
        <v>87</v>
      </c>
      <c r="D7" s="89" t="s">
        <v>173</v>
      </c>
      <c r="E7" s="90" t="s">
        <v>174</v>
      </c>
      <c r="F7" s="91">
        <v>0.25</v>
      </c>
    </row>
    <row r="8" spans="2:6" ht="12.75" customHeight="1" x14ac:dyDescent="0.2">
      <c r="B8" s="312"/>
      <c r="C8" s="303"/>
      <c r="D8" s="89" t="s">
        <v>175</v>
      </c>
      <c r="E8" s="90" t="s">
        <v>176</v>
      </c>
      <c r="F8" s="91">
        <v>0.15</v>
      </c>
    </row>
    <row r="9" spans="2:6" ht="12.75" customHeight="1" x14ac:dyDescent="0.2">
      <c r="B9" s="315" t="s">
        <v>177</v>
      </c>
      <c r="C9" s="302" t="s">
        <v>89</v>
      </c>
      <c r="D9" s="89" t="s">
        <v>178</v>
      </c>
      <c r="E9" s="90" t="s">
        <v>179</v>
      </c>
      <c r="F9" s="92" t="s">
        <v>180</v>
      </c>
    </row>
    <row r="10" spans="2:6" ht="12.75" customHeight="1" x14ac:dyDescent="0.2">
      <c r="B10" s="311"/>
      <c r="C10" s="303"/>
      <c r="D10" s="89" t="s">
        <v>181</v>
      </c>
      <c r="E10" s="90" t="s">
        <v>182</v>
      </c>
      <c r="F10" s="92" t="s">
        <v>180</v>
      </c>
    </row>
    <row r="11" spans="2:6" ht="12.75" customHeight="1" x14ac:dyDescent="0.2">
      <c r="B11" s="311"/>
      <c r="C11" s="302" t="s">
        <v>90</v>
      </c>
      <c r="D11" s="89" t="s">
        <v>183</v>
      </c>
      <c r="E11" s="90" t="s">
        <v>184</v>
      </c>
      <c r="F11" s="92" t="s">
        <v>180</v>
      </c>
    </row>
    <row r="12" spans="2:6" ht="12.75" customHeight="1" x14ac:dyDescent="0.2">
      <c r="B12" s="311"/>
      <c r="C12" s="303"/>
      <c r="D12" s="89" t="s">
        <v>185</v>
      </c>
      <c r="E12" s="90" t="s">
        <v>186</v>
      </c>
      <c r="F12" s="92" t="s">
        <v>180</v>
      </c>
    </row>
    <row r="13" spans="2:6" ht="12.75" customHeight="1" x14ac:dyDescent="0.2">
      <c r="B13" s="311"/>
      <c r="C13" s="302" t="s">
        <v>91</v>
      </c>
      <c r="D13" s="89" t="s">
        <v>187</v>
      </c>
      <c r="E13" s="90" t="s">
        <v>188</v>
      </c>
      <c r="F13" s="92" t="s">
        <v>180</v>
      </c>
    </row>
    <row r="14" spans="2:6" ht="12.75" customHeight="1" x14ac:dyDescent="0.2">
      <c r="B14" s="316"/>
      <c r="C14" s="304"/>
      <c r="D14" s="93" t="s">
        <v>189</v>
      </c>
      <c r="E14" s="94" t="s">
        <v>190</v>
      </c>
      <c r="F14" s="95" t="s">
        <v>180</v>
      </c>
    </row>
    <row r="15" spans="2:6" ht="49.5" customHeight="1" x14ac:dyDescent="0.2">
      <c r="B15" s="300" t="s">
        <v>191</v>
      </c>
      <c r="C15" s="239"/>
      <c r="D15" s="239"/>
      <c r="E15" s="239"/>
      <c r="F15" s="301"/>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15"/>
  <sheetViews>
    <sheetView workbookViewId="0">
      <selection activeCell="F19" sqref="F19"/>
    </sheetView>
  </sheetViews>
  <sheetFormatPr baseColWidth="10" defaultColWidth="11" defaultRowHeight="14.25" x14ac:dyDescent="0.2"/>
  <sheetData>
    <row r="2" spans="2:12" ht="15.75" x14ac:dyDescent="0.3">
      <c r="B2" s="100"/>
      <c r="C2" s="340" t="s">
        <v>226</v>
      </c>
      <c r="D2" s="340"/>
      <c r="E2" s="340"/>
      <c r="F2" s="340"/>
      <c r="G2" s="340"/>
      <c r="H2" s="340"/>
      <c r="I2" s="340"/>
      <c r="J2" s="340"/>
      <c r="K2" s="340"/>
      <c r="L2" s="340"/>
    </row>
    <row r="3" spans="2:12" ht="16.5" thickBot="1" x14ac:dyDescent="0.35">
      <c r="B3" s="100"/>
      <c r="C3" s="101"/>
      <c r="G3" s="100"/>
      <c r="H3" s="100"/>
      <c r="I3" s="100"/>
      <c r="J3" s="100"/>
      <c r="K3" s="100"/>
      <c r="L3" s="100"/>
    </row>
    <row r="4" spans="2:12" x14ac:dyDescent="0.2">
      <c r="B4" s="341" t="s">
        <v>227</v>
      </c>
      <c r="C4" s="342"/>
      <c r="D4" s="342" t="s">
        <v>228</v>
      </c>
      <c r="E4" s="342"/>
      <c r="F4" s="342"/>
      <c r="G4" s="342"/>
      <c r="H4" s="342" t="s">
        <v>229</v>
      </c>
      <c r="I4" s="342"/>
      <c r="J4" s="342"/>
      <c r="K4" s="342" t="s">
        <v>230</v>
      </c>
      <c r="L4" s="343"/>
    </row>
    <row r="5" spans="2:12" ht="17.25" thickBot="1" x14ac:dyDescent="0.35">
      <c r="B5" s="335"/>
      <c r="C5" s="336"/>
      <c r="D5" s="337"/>
      <c r="E5" s="337"/>
      <c r="F5" s="337"/>
      <c r="G5" s="337"/>
      <c r="H5" s="338"/>
      <c r="I5" s="338"/>
      <c r="J5" s="338"/>
      <c r="K5" s="338"/>
      <c r="L5" s="339"/>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332" t="s">
        <v>231</v>
      </c>
      <c r="C8" s="333"/>
      <c r="D8" s="333"/>
      <c r="E8" s="334"/>
      <c r="F8" s="332" t="s">
        <v>232</v>
      </c>
      <c r="G8" s="333"/>
      <c r="H8" s="333"/>
      <c r="I8" s="334"/>
      <c r="J8" s="332" t="s">
        <v>233</v>
      </c>
      <c r="K8" s="333"/>
      <c r="L8" s="334"/>
    </row>
    <row r="9" spans="2:12" ht="15.75" x14ac:dyDescent="0.3">
      <c r="B9" s="326"/>
      <c r="C9" s="327"/>
      <c r="D9" s="327"/>
      <c r="E9" s="328"/>
      <c r="F9" s="329"/>
      <c r="G9" s="330"/>
      <c r="H9" s="330"/>
      <c r="I9" s="331"/>
      <c r="J9" s="329"/>
      <c r="K9" s="330"/>
      <c r="L9" s="331"/>
    </row>
    <row r="10" spans="2:12" ht="15.75" x14ac:dyDescent="0.3">
      <c r="B10" s="326"/>
      <c r="C10" s="327"/>
      <c r="D10" s="327"/>
      <c r="E10" s="328"/>
      <c r="F10" s="329"/>
      <c r="G10" s="330"/>
      <c r="H10" s="330"/>
      <c r="I10" s="331"/>
      <c r="J10" s="329"/>
      <c r="K10" s="330"/>
      <c r="L10" s="331"/>
    </row>
    <row r="11" spans="2:12" ht="15.75" x14ac:dyDescent="0.3">
      <c r="B11" s="326"/>
      <c r="C11" s="327"/>
      <c r="D11" s="327"/>
      <c r="E11" s="328"/>
      <c r="F11" s="329"/>
      <c r="G11" s="330"/>
      <c r="H11" s="330"/>
      <c r="I11" s="331"/>
      <c r="J11" s="329"/>
      <c r="K11" s="330"/>
      <c r="L11" s="331"/>
    </row>
    <row r="12" spans="2:12" ht="15.75" x14ac:dyDescent="0.3">
      <c r="B12" s="326"/>
      <c r="C12" s="327"/>
      <c r="D12" s="327"/>
      <c r="E12" s="328"/>
      <c r="F12" s="329"/>
      <c r="G12" s="330"/>
      <c r="H12" s="330"/>
      <c r="I12" s="331"/>
      <c r="J12" s="329"/>
      <c r="K12" s="330"/>
      <c r="L12" s="331"/>
    </row>
    <row r="13" spans="2:12" x14ac:dyDescent="0.2">
      <c r="B13" s="317" t="s">
        <v>234</v>
      </c>
      <c r="C13" s="318"/>
      <c r="D13" s="318"/>
      <c r="E13" s="319"/>
      <c r="F13" s="317" t="s">
        <v>235</v>
      </c>
      <c r="G13" s="318"/>
      <c r="H13" s="318"/>
      <c r="I13" s="319"/>
      <c r="J13" s="317" t="s">
        <v>236</v>
      </c>
      <c r="K13" s="318"/>
      <c r="L13" s="319"/>
    </row>
    <row r="14" spans="2:12" x14ac:dyDescent="0.2">
      <c r="B14" s="317" t="s">
        <v>237</v>
      </c>
      <c r="C14" s="318"/>
      <c r="D14" s="318"/>
      <c r="E14" s="319"/>
      <c r="F14" s="317" t="s">
        <v>238</v>
      </c>
      <c r="G14" s="318"/>
      <c r="H14" s="318"/>
      <c r="I14" s="319"/>
      <c r="J14" s="317" t="s">
        <v>239</v>
      </c>
      <c r="K14" s="318"/>
      <c r="L14" s="319"/>
    </row>
    <row r="15" spans="2:12" ht="16.5" thickBot="1" x14ac:dyDescent="0.35">
      <c r="B15" s="320"/>
      <c r="C15" s="321"/>
      <c r="D15" s="321"/>
      <c r="E15" s="322"/>
      <c r="F15" s="323"/>
      <c r="G15" s="324"/>
      <c r="H15" s="324"/>
      <c r="I15" s="325"/>
      <c r="J15" s="320"/>
      <c r="K15" s="321"/>
      <c r="L15" s="322"/>
    </row>
  </sheetData>
  <mergeCells count="33">
    <mergeCell ref="B5:C5"/>
    <mergeCell ref="D5:G5"/>
    <mergeCell ref="H5:J5"/>
    <mergeCell ref="K5:L5"/>
    <mergeCell ref="C2:L2"/>
    <mergeCell ref="B4:C4"/>
    <mergeCell ref="D4:G4"/>
    <mergeCell ref="H4:J4"/>
    <mergeCell ref="K4:L4"/>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heetViews>
  <sheetFormatPr baseColWidth="10" defaultColWidth="12.625" defaultRowHeight="15" customHeight="1" x14ac:dyDescent="0.2"/>
  <cols>
    <col min="1" max="26" width="9.375" customWidth="1"/>
  </cols>
  <sheetData>
    <row r="2" spans="2:5" ht="15" customHeight="1" x14ac:dyDescent="0.25">
      <c r="B2" s="80" t="s">
        <v>192</v>
      </c>
      <c r="E2" s="80" t="s">
        <v>193</v>
      </c>
    </row>
    <row r="3" spans="2:5" ht="15" customHeight="1" x14ac:dyDescent="0.25">
      <c r="B3" s="80" t="s">
        <v>194</v>
      </c>
      <c r="E3" s="80" t="s">
        <v>195</v>
      </c>
    </row>
    <row r="4" spans="2:5" ht="15" customHeight="1" x14ac:dyDescent="0.25">
      <c r="B4" s="80" t="s">
        <v>196</v>
      </c>
      <c r="E4" s="80" t="s">
        <v>197</v>
      </c>
    </row>
    <row r="5" spans="2:5" ht="15" customHeight="1" x14ac:dyDescent="0.25">
      <c r="B5" s="80" t="s">
        <v>198</v>
      </c>
    </row>
    <row r="8" spans="2:5" ht="15" customHeight="1" x14ac:dyDescent="0.25">
      <c r="B8" s="80" t="s">
        <v>199</v>
      </c>
    </row>
    <row r="9" spans="2:5" ht="15" customHeight="1" x14ac:dyDescent="0.25">
      <c r="B9" s="80" t="s">
        <v>200</v>
      </c>
    </row>
    <row r="10" spans="2:5" ht="15" customHeight="1" x14ac:dyDescent="0.25">
      <c r="B10" s="80" t="s">
        <v>201</v>
      </c>
    </row>
    <row r="13" spans="2:5" ht="15" customHeight="1" x14ac:dyDescent="0.25">
      <c r="B13" s="80" t="s">
        <v>202</v>
      </c>
    </row>
    <row r="14" spans="2:5" ht="15" customHeight="1" x14ac:dyDescent="0.25">
      <c r="B14" s="80" t="s">
        <v>203</v>
      </c>
    </row>
    <row r="15" spans="2:5" ht="15" customHeight="1" x14ac:dyDescent="0.25">
      <c r="B15" s="80" t="s">
        <v>204</v>
      </c>
    </row>
    <row r="16" spans="2:5" ht="15" customHeight="1" x14ac:dyDescent="0.25">
      <c r="B16" s="80" t="s">
        <v>205</v>
      </c>
    </row>
    <row r="17" spans="2:2" ht="15" customHeight="1" x14ac:dyDescent="0.25">
      <c r="B17" s="80" t="s">
        <v>206</v>
      </c>
    </row>
    <row r="18" spans="2:2" ht="15" customHeight="1" x14ac:dyDescent="0.25">
      <c r="B18" s="80" t="s">
        <v>207</v>
      </c>
    </row>
    <row r="19" spans="2:2" ht="15" customHeight="1" x14ac:dyDescent="0.25">
      <c r="B19" s="80" t="s">
        <v>208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Juridica Alcaldia</cp:lastModifiedBy>
  <cp:lastPrinted>2023-11-30T22:01:40Z</cp:lastPrinted>
  <dcterms:created xsi:type="dcterms:W3CDTF">2020-03-24T23:12:47Z</dcterms:created>
  <dcterms:modified xsi:type="dcterms:W3CDTF">2025-06-27T21:58:35Z</dcterms:modified>
</cp:coreProperties>
</file>