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E:\OPGI\OPGI 2025\MIPG\RIESGOS\MAPAS DE RIESGO 2025\"/>
    </mc:Choice>
  </mc:AlternateContent>
  <xr:revisionPtr revIDLastSave="0" documentId="13_ncr:1_{C756A8D9-0413-4425-913F-8FABDE2A4708}" xr6:coauthVersionLast="47" xr6:coauthVersionMax="47" xr10:uidLastSave="{00000000-0000-0000-0000-000000000000}"/>
  <bookViews>
    <workbookView xWindow="-110" yWindow="-110" windowWidth="14620" windowHeight="8620"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81029"/>
</workbook>
</file>

<file path=xl/calcChain.xml><?xml version="1.0" encoding="utf-8"?>
<calcChain xmlns="http://schemas.openxmlformats.org/spreadsheetml/2006/main">
  <c r="G16" i="2" l="1"/>
  <c r="T43" i="2"/>
  <c r="T42" i="2"/>
  <c r="T41" i="2"/>
  <c r="T38" i="2"/>
  <c r="T37" i="2"/>
  <c r="T36" i="2"/>
  <c r="T33" i="2"/>
  <c r="T32" i="2"/>
  <c r="T31" i="2"/>
  <c r="T28" i="2"/>
  <c r="T27" i="2"/>
  <c r="T26" i="2"/>
  <c r="T23" i="2"/>
  <c r="T22" i="2"/>
  <c r="T21" i="2"/>
  <c r="T18" i="2"/>
  <c r="T17" i="2"/>
  <c r="H41" i="2"/>
  <c r="H36" i="2"/>
  <c r="H31" i="2"/>
  <c r="H26" i="2"/>
  <c r="H21" i="2"/>
  <c r="T40" i="2" l="1"/>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X24" i="2" s="1"/>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4" i="2"/>
  <c r="H20" i="2"/>
  <c r="H19" i="2"/>
  <c r="T44" i="2"/>
  <c r="X44" i="2"/>
  <c r="Z44" i="2" s="1"/>
  <c r="AB44" i="2"/>
  <c r="AA44" i="2" s="1"/>
  <c r="T45" i="2"/>
  <c r="AB43" i="2" l="1"/>
  <c r="AA43" i="2" s="1"/>
  <c r="X43" i="2"/>
  <c r="AB42" i="2"/>
  <c r="AA42" i="2" s="1"/>
  <c r="AB41" i="2"/>
  <c r="AA41" i="2" s="1"/>
  <c r="X42" i="2"/>
  <c r="X41" i="2"/>
  <c r="Z41" i="2" s="1"/>
  <c r="AB38" i="2"/>
  <c r="AA38" i="2" s="1"/>
  <c r="X38" i="2"/>
  <c r="X37" i="2"/>
  <c r="X36" i="2"/>
  <c r="AB37" i="2"/>
  <c r="AA37" i="2" s="1"/>
  <c r="AB36" i="2"/>
  <c r="AA36" i="2" s="1"/>
  <c r="X33" i="2"/>
  <c r="Z33" i="2" s="1"/>
  <c r="AB33" i="2"/>
  <c r="AA33" i="2" s="1"/>
  <c r="AB31" i="2"/>
  <c r="AA31" i="2" s="1"/>
  <c r="X32" i="2"/>
  <c r="Z32" i="2" s="1"/>
  <c r="AB32" i="2"/>
  <c r="AA32" i="2" s="1"/>
  <c r="X31" i="2"/>
  <c r="Y31" i="2" s="1"/>
  <c r="AB28" i="2"/>
  <c r="AA28" i="2" s="1"/>
  <c r="X28" i="2"/>
  <c r="X26" i="2"/>
  <c r="X27" i="2"/>
  <c r="AB27" i="2"/>
  <c r="AA27" i="2" s="1"/>
  <c r="X21" i="2"/>
  <c r="Y21" i="2" s="1"/>
  <c r="X18" i="2"/>
  <c r="AB18" i="2"/>
  <c r="AA18" i="2" s="1"/>
  <c r="X16" i="2"/>
  <c r="Y16" i="2" s="1"/>
  <c r="X25" i="2"/>
  <c r="Z25" i="2" s="1"/>
  <c r="Y39" i="2"/>
  <c r="Z39" i="2"/>
  <c r="Z24" i="2"/>
  <c r="Y24" i="2"/>
  <c r="Y40" i="2"/>
  <c r="Z40" i="2"/>
  <c r="AB39" i="2"/>
  <c r="AA39" i="2" s="1"/>
  <c r="X34" i="2"/>
  <c r="Y41" i="2"/>
  <c r="AB24" i="2"/>
  <c r="AA24" i="2" s="1"/>
  <c r="AB40" i="2"/>
  <c r="AA40" i="2" s="1"/>
  <c r="X19" i="2"/>
  <c r="X35" i="2"/>
  <c r="X20" i="2"/>
  <c r="X29" i="2"/>
  <c r="X30" i="2"/>
  <c r="I45" i="2"/>
  <c r="Y44" i="2"/>
  <c r="AC44" i="2" s="1"/>
  <c r="I44" i="2"/>
  <c r="I40" i="2"/>
  <c r="I39" i="2"/>
  <c r="I35" i="2"/>
  <c r="I34" i="2"/>
  <c r="I30" i="2"/>
  <c r="I29" i="2"/>
  <c r="I24" i="2"/>
  <c r="I20" i="2"/>
  <c r="I19" i="2"/>
  <c r="Q45" i="2"/>
  <c r="Y32" i="2" l="1"/>
  <c r="AC41" i="2"/>
  <c r="Y33" i="2"/>
  <c r="AC33" i="2" s="1"/>
  <c r="Z31" i="2"/>
  <c r="Y25" i="2"/>
  <c r="AC25" i="2" s="1"/>
  <c r="AC24" i="2"/>
  <c r="Z21" i="2"/>
  <c r="Z30" i="2"/>
  <c r="Y30" i="2"/>
  <c r="AC30" i="2" s="1"/>
  <c r="Z20" i="2"/>
  <c r="Y20" i="2"/>
  <c r="AC20" i="2" s="1"/>
  <c r="Z38" i="2"/>
  <c r="Y38" i="2"/>
  <c r="AC38" i="2" s="1"/>
  <c r="AC39" i="2"/>
  <c r="Z18" i="2"/>
  <c r="Y18" i="2"/>
  <c r="AC18" i="2" s="1"/>
  <c r="Z43" i="2"/>
  <c r="Y43" i="2"/>
  <c r="AC43" i="2" s="1"/>
  <c r="Z37" i="2"/>
  <c r="Y37" i="2"/>
  <c r="AC37" i="2" s="1"/>
  <c r="Z26" i="2"/>
  <c r="Y26" i="2"/>
  <c r="AC40" i="2"/>
  <c r="AC31" i="2"/>
  <c r="Z35" i="2"/>
  <c r="Y35" i="2"/>
  <c r="AC35" i="2" s="1"/>
  <c r="Z27" i="2"/>
  <c r="Y27" i="2"/>
  <c r="AC27" i="2" s="1"/>
  <c r="Z19" i="2"/>
  <c r="Y19" i="2"/>
  <c r="AC19" i="2" s="1"/>
  <c r="Z42" i="2"/>
  <c r="Y42" i="2"/>
  <c r="AC42" i="2" s="1"/>
  <c r="Z36" i="2"/>
  <c r="Y36" i="2"/>
  <c r="AC36" i="2" s="1"/>
  <c r="Z28" i="2"/>
  <c r="Y28" i="2"/>
  <c r="AC28" i="2" s="1"/>
  <c r="Z29" i="2"/>
  <c r="Y29" i="2"/>
  <c r="AC29" i="2" s="1"/>
  <c r="Z34" i="2"/>
  <c r="Y34" i="2"/>
  <c r="AC34" i="2" s="1"/>
  <c r="AC32" i="2"/>
  <c r="Z16" i="2"/>
  <c r="X17" i="2" s="1"/>
  <c r="Z17" i="2" s="1"/>
  <c r="X45" i="2"/>
  <c r="AB45" i="2"/>
  <c r="AA45" i="2" s="1"/>
  <c r="X22" i="2" l="1"/>
  <c r="Z22" i="2" s="1"/>
  <c r="X23" i="2" s="1"/>
  <c r="Y17" i="2"/>
  <c r="Z45" i="2"/>
  <c r="Y45" i="2"/>
  <c r="AC45" i="2" s="1"/>
  <c r="Z23" i="2" l="1"/>
  <c r="Y23" i="2"/>
  <c r="Y22" i="2"/>
  <c r="AD31" i="2"/>
  <c r="AD41" i="2"/>
  <c r="AD36"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45" i="2" l="1"/>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5" i="2" l="1"/>
  <c r="N40" i="2"/>
  <c r="M44" i="2"/>
  <c r="N44"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R6" i="4"/>
  <c r="AJ6" i="4"/>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AJ26" i="4"/>
  <c r="AJ16" i="4"/>
  <c r="R50" i="4"/>
  <c r="L46" i="4"/>
  <c r="R36" i="4"/>
  <c r="AD16" i="4"/>
  <c r="R16" i="4"/>
  <c r="X6" i="4"/>
  <c r="AD36" i="4"/>
  <c r="X30" i="4"/>
  <c r="AJ30" i="4"/>
  <c r="L20" i="4"/>
  <c r="X46" i="4"/>
  <c r="R26" i="4"/>
  <c r="L26" i="4"/>
  <c r="X36" i="4"/>
  <c r="L16" i="4"/>
  <c r="X16" i="4"/>
  <c r="AJ46" i="4"/>
  <c r="AJ40" i="4"/>
  <c r="R46" i="4"/>
  <c r="AD46" i="4"/>
  <c r="L6" i="4"/>
  <c r="AD6" i="4"/>
  <c r="AD26" i="4"/>
  <c r="L36" i="4"/>
  <c r="X26" i="4"/>
  <c r="AJ36"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N31" i="2"/>
  <c r="M26" i="2"/>
  <c r="N26" i="2"/>
  <c r="N41" i="2"/>
  <c r="M41" i="2"/>
  <c r="N36" i="2"/>
  <c r="M36" i="2"/>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B23" i="2" l="1"/>
  <c r="AA23" i="2" s="1"/>
  <c r="AB22" i="2"/>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AA26" i="2" s="1"/>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B16" i="2" l="1"/>
  <c r="AB17" i="2" s="1"/>
  <c r="AA17" i="2" s="1"/>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AD26" i="2" s="1"/>
  <c r="J18" i="4"/>
  <c r="V48" i="4"/>
  <c r="J8" i="4"/>
  <c r="P1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C23" i="2"/>
  <c r="AM17" i="4"/>
  <c r="O7" i="4"/>
  <c r="AG7" i="4"/>
  <c r="AG17" i="4"/>
  <c r="AA47" i="4"/>
  <c r="AA7" i="4"/>
  <c r="AA27" i="4"/>
  <c r="AG27" i="4"/>
  <c r="AM7" i="4"/>
  <c r="U27" i="4"/>
  <c r="AG47" i="4"/>
  <c r="U7" i="4"/>
  <c r="O47" i="4"/>
  <c r="U17" i="4"/>
  <c r="AG37" i="4"/>
  <c r="U47" i="4"/>
  <c r="O37" i="4"/>
  <c r="AM47" i="4"/>
  <c r="O27" i="4"/>
  <c r="AA37" i="4"/>
  <c r="AM37" i="4"/>
  <c r="O17" i="4"/>
  <c r="AM27" i="4"/>
  <c r="U37" i="4"/>
  <c r="AA17" i="4"/>
  <c r="AD21" i="2" l="1"/>
  <c r="AC17" i="2"/>
  <c r="Q46" i="4"/>
  <c r="K16" i="4"/>
  <c r="AC6" i="4"/>
  <c r="AC26" i="4"/>
  <c r="K26" i="4"/>
  <c r="K46" i="4"/>
  <c r="AI46" i="4"/>
  <c r="K6" i="4"/>
  <c r="AC16" i="4"/>
  <c r="AI6" i="4"/>
  <c r="W6" i="4"/>
  <c r="Q6" i="4"/>
  <c r="AI16" i="4"/>
  <c r="K36" i="4"/>
  <c r="Q26" i="4"/>
  <c r="AC36" i="4"/>
  <c r="W26" i="4"/>
  <c r="W16" i="4"/>
  <c r="AI26" i="4"/>
  <c r="AC46" i="4"/>
  <c r="W46" i="4"/>
  <c r="Q36" i="4"/>
  <c r="AI36" i="4"/>
  <c r="W36" i="4"/>
  <c r="Q16" i="4"/>
  <c r="AA16" i="2"/>
  <c r="V16" i="4" l="1"/>
  <c r="J46" i="4"/>
  <c r="J16" i="4"/>
  <c r="AB6" i="4"/>
  <c r="AC16" i="2"/>
  <c r="AD16" i="2" s="1"/>
  <c r="P46" i="4"/>
  <c r="AH36" i="4"/>
  <c r="V36" i="4"/>
  <c r="AB26" i="4"/>
  <c r="P6" i="4"/>
  <c r="AB46" i="4"/>
  <c r="P36" i="4"/>
  <c r="AH26" i="4"/>
  <c r="V6" i="4"/>
  <c r="J36" i="4"/>
  <c r="V46" i="4"/>
  <c r="J6" i="4"/>
  <c r="J26" i="4"/>
  <c r="P26" i="4"/>
  <c r="AH16" i="4"/>
  <c r="AH46" i="4"/>
  <c r="AB36" i="4"/>
  <c r="V26" i="4"/>
  <c r="AH6" i="4"/>
  <c r="P16" i="4"/>
  <c r="AB16" i="4"/>
</calcChain>
</file>

<file path=xl/sharedStrings.xml><?xml version="1.0" encoding="utf-8"?>
<sst xmlns="http://schemas.openxmlformats.org/spreadsheetml/2006/main" count="378" uniqueCount="258">
  <si>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</si>
  <si>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</si>
  <si>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</si>
  <si>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</si>
  <si>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</si>
  <si>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</si>
  <si>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</si>
  <si>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</si>
  <si>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</si>
  <si>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</si>
  <si>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</si>
  <si>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</si>
  <si>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</si>
  <si>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</si>
  <si>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</si>
  <si>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</si>
  <si>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</si>
  <si>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</si>
  <si>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</si>
  <si>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</si>
  <si>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</si>
  <si>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</si>
  <si>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</si>
  <si>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</si>
  <si>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</si>
  <si>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</si>
  <si>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</si>
  <si>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</si>
  <si>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</si>
  <si>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</si>
  <si>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</si>
  <si>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</si>
  <si>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</si>
  <si>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</si>
  <si>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</si>
  <si>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</si>
  <si>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</si>
  <si>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</si>
  <si>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</si>
  <si>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</si>
  <si>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</si>
  <si>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</si>
  <si>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</si>
  <si>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</si>
  <si>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</si>
  <si>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</si>
  <si>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</si>
  <si>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</si>
  <si>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</si>
  <si>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</si>
  <si>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</si>
  <si>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</si>
  <si>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</si>
  <si>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</si>
  <si>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</si>
  <si>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</si>
  <si>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</si>
  <si>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</si>
  <si>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</si>
  <si>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</si>
  <si>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</si>
  <si>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</si>
  <si>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</si>
  <si>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</si>
  <si>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</si>
  <si>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</si>
  <si>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</si>
  <si>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</si>
  <si>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</si>
  <si>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</si>
  <si>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</si>
  <si>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</si>
  <si>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</si>
  <si>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</si>
  <si>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</si>
  <si>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</si>
  <si>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</si>
  <si>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</si>
  <si>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</si>
  <si>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</si>
  <si>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</si>
  <si>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</si>
  <si>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</si>
  <si>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</si>
  <si>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</si>
  <si>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</si>
  <si>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</si>
  <si>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</si>
  <si>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</si>
  <si>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</si>
  <si>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</si>
  <si>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</si>
  <si>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</si>
  <si>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</si>
  <si>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</si>
  <si>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</si>
  <si>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</si>
  <si>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</si>
  <si>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</si>
  <si>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</si>
  <si>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</si>
  <si>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</si>
  <si>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</si>
  <si>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</si>
  <si>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</si>
  <si>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</si>
  <si>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</si>
  <si>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</si>
  <si>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</si>
  <si>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</si>
  <si>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</si>
  <si>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</si>
  <si>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</si>
  <si>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</si>
  <si>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</si>
  <si>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</si>
  <si>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</si>
  <si>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</si>
  <si>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</si>
  <si>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</si>
  <si>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</si>
  <si>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</si>
  <si>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</si>
  <si>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</si>
  <si>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</si>
  <si>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</si>
  <si>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</si>
  <si>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</si>
  <si>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</si>
  <si>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</si>
  <si>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</si>
  <si>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</si>
  <si>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</si>
  <si>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</si>
  <si>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</si>
  <si>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</si>
  <si>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</si>
  <si>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</si>
  <si>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</si>
  <si>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</si>
  <si>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</si>
  <si>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</si>
  <si>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</si>
  <si>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</si>
  <si>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</si>
  <si>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</si>
  <si>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</si>
  <si>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</si>
  <si>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</si>
  <si>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</si>
  <si>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</si>
  <si>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</si>
  <si>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</si>
  <si>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</si>
  <si>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</si>
  <si>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</si>
  <si>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</si>
  <si>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</si>
  <si>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</si>
  <si>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</si>
  <si>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</si>
  <si>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</si>
  <si>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</si>
  <si>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</si>
  <si>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</si>
  <si>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</si>
  <si>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</si>
  <si>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</si>
  <si>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</si>
  <si>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</si>
  <si>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</si>
  <si>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</si>
  <si>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</si>
  <si>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</si>
  <si>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</si>
  <si>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</si>
  <si>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</si>
  <si>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</si>
  <si>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</si>
  <si>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</si>
  <si>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</si>
  <si>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</si>
  <si>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</si>
  <si>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</si>
  <si>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</si>
  <si>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</si>
  <si>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</si>
  <si>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</si>
  <si>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</si>
  <si>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</si>
  <si>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</si>
  <si>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</si>
  <si>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</si>
  <si>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</si>
  <si>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</si>
  <si>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</si>
  <si>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</si>
  <si>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</si>
  <si>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</si>
  <si>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</si>
  <si>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</si>
  <si>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</si>
  <si>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</si>
  <si>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</si>
  <si>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</si>
  <si>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</si>
  <si>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</si>
  <si>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</si>
  <si>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</si>
  <si>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</si>
  <si>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</si>
  <si>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</si>
  <si>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</si>
  <si>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</si>
  <si>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</si>
  <si>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</si>
  <si>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</si>
  <si>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</si>
  <si>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</si>
  <si>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</si>
  <si>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</si>
  <si>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</si>
  <si>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</si>
  <si>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</si>
  <si>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</si>
  <si>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</si>
  <si>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</si>
  <si>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</si>
  <si>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</si>
  <si>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</si>
  <si>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</si>
  <si>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</si>
  <si>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</si>
  <si>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</si>
  <si>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</si>
  <si>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</si>
  <si>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</si>
  <si>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</si>
  <si>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</si>
  <si>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</si>
  <si>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</si>
  <si>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</si>
  <si>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Planeación estratégica</t>
  </si>
  <si>
    <t>Establecer los lineamientos para la planeación y gestión institucional, a través de la formulación y seguimiento oportuno al plan de desarrollo municipal para generar confianza y legitimidad en la gobernanza y la gobernabilidad del municipio de Pasto.</t>
  </si>
  <si>
    <t>Inicia con la elaboración y definición de lineamientos y proyectos de gestión institucional, hasta el seguimiento de estas directrices.
Aplica para: definir lineamientos para la formulación, ajuste y seguimiento a las metas de plan de desarrollo; viabilización, ajuste y seguimiento de los proyectos de inversión y del Sistema General de Regalías y establecer actividades para la estrategia de rendición de cuentas de información, diálogo y responsabilidades.</t>
  </si>
  <si>
    <t xml:space="preserve">Sanciones por parte del ente de control </t>
  </si>
  <si>
    <t>Sanciones del ente de control y quejas de la ciudadanía</t>
  </si>
  <si>
    <t xml:space="preserve">Multas o sanciones por parte del ente de control
Pérdida de la imagen institucional </t>
  </si>
  <si>
    <t>Inoportuno monitoreo realizado al reporte de la información en la Plataforma Integrada de Inversión Pública PIIP.</t>
  </si>
  <si>
    <t xml:space="preserve">La información reportada del avance físico de metas no es pertinente </t>
  </si>
  <si>
    <t>Consolidación inoportuna del reporte físico y financiero de metas de productos del Plan de Desarrollo Municipal</t>
  </si>
  <si>
    <t>Posibilidad de afectación económica y reputacional por sanciones del ente de control debido al inoportuno monitoreo realizado al reporte de la información en la Plataforma Integrada de Inversión Pública PIIP.</t>
  </si>
  <si>
    <t xml:space="preserve">Posibilidad de afectación económico y reputacional por sanciones del ente de control y quejas de la ciudadanía y grupos de valor debido a que la información reportada del avance de metas del Plan de Desarrollo no es pertinente </t>
  </si>
  <si>
    <t>Posibilidad de afectación económica y reputacional por multas o sanciones por parte del ente de control y pérdida de la imagen institucional debido a la consolidación inoportuna del reporte físico y financiero de metas de productos del Plan de Desarrollo Municipal</t>
  </si>
  <si>
    <t xml:space="preserve">El equipo del Banco de proyectos mensualmente monitorea el reporte de seguimiento a los proyectos de inversión realizado en la plataforma PIIP por parte de las dependencias con el fin de que la información cumpla con los criterios de oportunidad, completitud  y calidad, comparando la información cargada en PIIP y la ejecución de gastos emitida por la Oficina de Presupuesto; consolidando dicha información en la “Matriz de monitoreo físico y financiero”. En caso de evidenciar inconsistencia en el reporte de información se generan alertas tempranas y se remiten mediante correo electrónico a las dependencias o entidades descentralizadas, con copia a Control Interno. Este control se evidencia en la matriz de monitoreo y los correos enviados. </t>
  </si>
  <si>
    <t xml:space="preserve">El profesional encargado del monitoreo, seguimiento y evaluación del PDM, anualmente, con el fin de validar la información reportada en los instrumentos de seguimiento y determinar objetivamente el nivel de cumplimiento en la vigencia y/o realizar las aclaraciones pertinentes, realiza mesas de trabajo con cada dependencia responsable de las metas programas en el Plan de Desarrollo Municipal. Este control se evidencia en el formato pe_f_022_hoja_de_captura y listado de asistencia. </t>
  </si>
  <si>
    <t>El profesional encargado del monitoreo, seguimiento y evaluación de PDM, mensualmente, con el fin de evidenciar el cumplimiento de la estructura programática, realiza una revisión del correcto diligenciamiento del instrumento de seguimiento reportado por cada dependencia, determinando objetividad y completitud de los registros administrativos e información reportada por las dependencias, el cual es comparado con el instrumento de planificación "Plan de Acción". En caso de evidenciar inconsistencia en el reporte de información se solicita el ajuste a la dependencia. Este control se evidencia en el formato hoja de captura pe_f_022 y correos electrónicos.</t>
  </si>
  <si>
    <t>El profesional encargado del monitoreo, seguimiento y evaluación del Plan de Desarrollo, mensualmente, con el fin de asegurar la entrega de información, realiza un recordatorio a las dependencias y entidades descentralizadas de la fecha límite de entrega de la información sobre avance físico y financiero de metas de producto programadas en la vigencia, en el marco del cumplimiento realizado mediante el requerimiento formal con registro administrativo "Circular anual". En caso de evidenciar inconsistencia en el reporte de información se envía un reporte a la Oficina de Control Interno informando las dependencias que han incurrido en incumplimiento con la información solicitada, reiterando la entrega del instrumento de seguimiento. Este control se evidencia en los correos electrónicos de recordatorio remitidos y correos de solicitud enviados a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</si>
</sst>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6"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ont>
    <font>
      <b/>
      <sz val="11"/>
      <color theme="1"/>
      <name val="Arial Narrow"/>
    </font>
    <font>
      <sz val="14"/>
      <color theme="1"/>
      <name val="Century Gothic"/>
      <family val="2"/>
    </font>
    <font>
      <sz val="10"/>
      <color theme="1"/>
      <name val="Century Gothic"/>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0">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s>
  <cellStyleXfs count="1">
    <xf numFmtId="0" fontId="0" fillId="0" borderId="0"/>
  </cellStyleXfs>
  <cellXfs count="340">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51" fillId="0" borderId="103" xfId="0" applyFont="1" applyBorder="1" applyAlignment="1">
      <alignment horizontal="center" vertical="center" wrapText="1"/>
    </xf>
    <xf numFmtId="0" fontId="50" fillId="0" borderId="103" xfId="0" applyFont="1" applyBorder="1" applyAlignment="1">
      <alignment horizontal="center" vertical="center" wrapText="1"/>
    </xf>
    <xf numFmtId="0" fontId="52" fillId="0" borderId="103" xfId="0" applyFont="1" applyBorder="1" applyAlignment="1">
      <alignment horizontal="center" vertical="center"/>
    </xf>
    <xf numFmtId="9" fontId="51" fillId="0" borderId="103" xfId="0" applyNumberFormat="1" applyFont="1" applyBorder="1" applyAlignment="1">
      <alignment horizontal="center" vertical="center" wrapText="1"/>
    </xf>
    <xf numFmtId="0" fontId="50" fillId="0" borderId="103"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wrapText="1"/>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4" fillId="2" borderId="126" xfId="0" applyFont="1" applyFill="1" applyBorder="1" applyAlignment="1" applyProtection="1">
      <alignment horizontal="left" vertical="center" wrapText="1"/>
      <protection locked="0"/>
    </xf>
    <xf numFmtId="0" fontId="50" fillId="4" borderId="103" xfId="0" applyFont="1" applyFill="1" applyBorder="1" applyAlignment="1">
      <alignment horizontal="center" vertical="center" textRotation="9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6" fillId="9" borderId="45" xfId="0" applyFont="1" applyFill="1" applyBorder="1" applyAlignment="1">
      <alignment horizontal="center" wrapText="1" readingOrder="1"/>
    </xf>
    <xf numFmtId="0" fontId="3" fillId="0" borderId="53" xfId="0" applyFont="1" applyBorder="1"/>
    <xf numFmtId="0" fontId="3" fillId="0" borderId="50" xfId="0" applyFont="1" applyBorder="1"/>
    <xf numFmtId="0" fontId="3" fillId="0" borderId="63" xfId="0" applyFont="1" applyBorder="1"/>
    <xf numFmtId="0" fontId="16" fillId="9" borderId="58" xfId="0" applyFont="1" applyFill="1" applyBorder="1" applyAlignment="1">
      <alignment horizontal="center" wrapText="1" readingOrder="1"/>
    </xf>
    <xf numFmtId="0" fontId="3" fillId="0" borderId="57" xfId="0" applyFont="1" applyBorder="1"/>
    <xf numFmtId="0" fontId="3" fillId="0" borderId="52" xfId="0" applyFont="1" applyBorder="1"/>
    <xf numFmtId="0" fontId="3" fillId="0" borderId="56" xfId="0" applyFont="1" applyBorder="1"/>
    <xf numFmtId="0" fontId="16" fillId="7" borderId="54" xfId="0" applyFont="1" applyFill="1" applyBorder="1" applyAlignment="1">
      <alignment horizontal="center" vertical="center" wrapText="1" readingOrder="1"/>
    </xf>
    <xf numFmtId="0" fontId="3" fillId="0" borderId="62" xfId="0" applyFont="1" applyBorder="1"/>
    <xf numFmtId="0" fontId="16" fillId="7" borderId="58"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3" fillId="0" borderId="47" xfId="0" applyFont="1" applyBorder="1"/>
    <xf numFmtId="0" fontId="16" fillId="9" borderId="66" xfId="0" applyFont="1" applyFill="1" applyBorder="1" applyAlignment="1">
      <alignment horizontal="center" wrapText="1" readingOrder="1"/>
    </xf>
    <xf numFmtId="0" fontId="16" fillId="7" borderId="66" xfId="0" applyFont="1" applyFill="1" applyBorder="1" applyAlignment="1">
      <alignment horizontal="center" vertical="center" wrapText="1" readingOrder="1"/>
    </xf>
    <xf numFmtId="0" fontId="16" fillId="7" borderId="45" xfId="0" applyFont="1" applyFill="1" applyBorder="1" applyAlignment="1">
      <alignment horizontal="center" vertical="center" wrapText="1" readingOrder="1"/>
    </xf>
    <xf numFmtId="0" fontId="16" fillId="8" borderId="66" xfId="0" applyFont="1" applyFill="1" applyBorder="1" applyAlignment="1">
      <alignment horizontal="center" wrapText="1" readingOrder="1"/>
    </xf>
    <xf numFmtId="0" fontId="16" fillId="8" borderId="45" xfId="0" applyFont="1" applyFill="1" applyBorder="1" applyAlignment="1">
      <alignment horizontal="center" wrapText="1" readingOrder="1"/>
    </xf>
    <xf numFmtId="0" fontId="16" fillId="9" borderId="54" xfId="0" applyFont="1" applyFill="1" applyBorder="1" applyAlignment="1">
      <alignment horizont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7" xfId="0" applyFont="1" applyBorder="1"/>
    <xf numFmtId="0" fontId="3" fillId="0" borderId="68" xfId="0" applyFont="1" applyBorder="1"/>
    <xf numFmtId="0" fontId="3" fillId="0" borderId="70" xfId="0" applyFont="1" applyBorder="1"/>
    <xf numFmtId="0" fontId="3" fillId="0" borderId="71" xfId="0" applyFont="1" applyBorder="1"/>
    <xf numFmtId="0" fontId="3" fillId="0" borderId="69" xfId="0" applyFont="1" applyBorder="1"/>
    <xf numFmtId="0" fontId="16" fillId="8"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16" fillId="10" borderId="58" xfId="0" applyFont="1" applyFill="1" applyBorder="1" applyAlignment="1">
      <alignment horizontal="center" wrapText="1" readingOrder="1"/>
    </xf>
    <xf numFmtId="0" fontId="16" fillId="10" borderId="54" xfId="0" applyFont="1" applyFill="1" applyBorder="1" applyAlignment="1">
      <alignment horizontal="center" wrapText="1" readingOrder="1"/>
    </xf>
    <xf numFmtId="0" fontId="17" fillId="8"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10" borderId="59" xfId="0" applyFont="1" applyFill="1" applyBorder="1" applyAlignment="1">
      <alignment horizontal="center" vertical="center" wrapText="1" readingOrder="1"/>
    </xf>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8" fillId="0" borderId="0" xfId="0" applyFont="1" applyAlignment="1">
      <alignment horizontal="center" vertical="center" wrapText="1"/>
    </xf>
    <xf numFmtId="0" fontId="19" fillId="0" borderId="54" xfId="0" applyFont="1" applyBorder="1" applyAlignment="1">
      <alignment horizontal="center" vertical="center" wrapText="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1" fillId="0" borderId="103" xfId="0" applyFont="1" applyFill="1" applyBorder="1" applyAlignment="1" applyProtection="1">
      <alignment horizontal="center" vertical="center" wrapText="1"/>
      <protection locked="0"/>
    </xf>
    <xf numFmtId="0" fontId="51" fillId="0" borderId="103" xfId="0" applyFont="1" applyFill="1" applyBorder="1" applyAlignment="1" applyProtection="1">
      <alignment horizontal="center" vertical="center"/>
      <protection locked="0"/>
    </xf>
    <xf numFmtId="0" fontId="52" fillId="0" borderId="103" xfId="0" applyFont="1" applyFill="1" applyBorder="1" applyAlignment="1" applyProtection="1">
      <alignment horizontal="center" vertical="center"/>
      <protection locked="0"/>
    </xf>
    <xf numFmtId="0" fontId="51" fillId="0" borderId="123" xfId="0" applyFont="1" applyFill="1" applyBorder="1" applyAlignment="1" applyProtection="1">
      <alignment vertical="center" wrapText="1"/>
      <protection locked="0"/>
    </xf>
    <xf numFmtId="0" fontId="51" fillId="0" borderId="123" xfId="0" applyFont="1" applyFill="1" applyBorder="1" applyAlignment="1" applyProtection="1">
      <alignment vertical="center"/>
      <protection locked="0"/>
    </xf>
    <xf numFmtId="0" fontId="51" fillId="0" borderId="123" xfId="0" applyFont="1" applyFill="1" applyBorder="1" applyAlignment="1" applyProtection="1">
      <alignment horizontal="center" vertical="center" wrapText="1"/>
      <protection locked="0"/>
    </xf>
    <xf numFmtId="0" fontId="51" fillId="0" borderId="125" xfId="0" applyFont="1" applyFill="1" applyBorder="1" applyAlignment="1" applyProtection="1">
      <alignment horizontal="center" vertical="center" wrapText="1"/>
      <protection locked="0"/>
    </xf>
    <xf numFmtId="0" fontId="51" fillId="0" borderId="124" xfId="0" applyFont="1" applyFill="1" applyBorder="1" applyAlignment="1" applyProtection="1">
      <alignment horizontal="center" vertical="center" wrapText="1"/>
      <protection locked="0"/>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48"/>
  <sheetViews>
    <sheetView showGridLines="0" tabSelected="1" zoomScale="50" zoomScaleNormal="50" workbookViewId="0">
      <selection activeCell="C10" sqref="C10:N10"/>
    </sheetView>
  </sheetViews>
  <sheetFormatPr baseColWidth="10" defaultColWidth="12.58203125" defaultRowHeight="14" x14ac:dyDescent="0.3"/>
  <cols>
    <col min="1" max="1" width="3.5" style="103" customWidth="1"/>
    <col min="2" max="2" width="20.58203125" style="103" customWidth="1"/>
    <col min="3" max="5" width="26.33203125" style="103" customWidth="1"/>
    <col min="6" max="6" width="16.58203125" style="103" customWidth="1"/>
    <col min="7" max="7" width="15.58203125" style="103" customWidth="1"/>
    <col min="8" max="8" width="14.5" style="103" customWidth="1"/>
    <col min="9" max="9" width="6.5" style="103" customWidth="1"/>
    <col min="10" max="10" width="23.83203125" style="103" customWidth="1"/>
    <col min="11" max="11" width="26.75" style="103" bestFit="1" customWidth="1"/>
    <col min="12" max="12" width="15.33203125" style="103" customWidth="1"/>
    <col min="13" max="13" width="5.5" style="103" customWidth="1"/>
    <col min="14" max="14" width="14" style="103" customWidth="1"/>
    <col min="15" max="15" width="5.08203125" style="103" customWidth="1"/>
    <col min="16" max="16" width="68.83203125" style="103" customWidth="1"/>
    <col min="17" max="17" width="13.25" style="103" customWidth="1"/>
    <col min="18" max="18" width="6" style="103" customWidth="1"/>
    <col min="19" max="19" width="4.33203125" style="103" customWidth="1"/>
    <col min="20" max="20" width="4.83203125" style="103" customWidth="1"/>
    <col min="21" max="21" width="6.25" style="103" customWidth="1"/>
    <col min="22" max="22" width="5.83203125" style="103" customWidth="1"/>
    <col min="23" max="23" width="6.58203125" style="103" customWidth="1"/>
    <col min="24" max="24" width="6.33203125" style="103" customWidth="1"/>
    <col min="25" max="25" width="7.58203125" style="103" customWidth="1"/>
    <col min="26" max="26" width="6.58203125" style="103" customWidth="1"/>
    <col min="27" max="27" width="8.08203125" style="103" customWidth="1"/>
    <col min="28" max="28" width="6.75" style="103" customWidth="1"/>
    <col min="29" max="29" width="7.33203125" style="103" customWidth="1"/>
    <col min="30" max="30" width="7.33203125" customWidth="1"/>
    <col min="31" max="31" width="8.33203125" style="103" customWidth="1"/>
    <col min="32" max="32" width="20.08203125" style="103" customWidth="1"/>
    <col min="33" max="33" width="16.5" style="103" customWidth="1"/>
    <col min="34" max="34" width="19.83203125" style="103" customWidth="1"/>
    <col min="35" max="35" width="17.83203125" style="103" customWidth="1"/>
    <col min="36" max="36" width="16.25" style="103" customWidth="1"/>
    <col min="37" max="37" width="18.33203125" style="103" customWidth="1"/>
    <col min="38" max="56" width="10" style="103" customWidth="1"/>
    <col min="57" max="16384" width="12.58203125" style="103"/>
  </cols>
  <sheetData>
    <row r="1" spans="1:37" ht="23" thickBot="1" x14ac:dyDescent="0.35">
      <c r="A1" s="169"/>
      <c r="B1" s="170"/>
      <c r="C1" s="170"/>
      <c r="D1" s="171"/>
      <c r="E1" s="178" t="s">
        <v>224</v>
      </c>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9"/>
    </row>
    <row r="2" spans="1:37" ht="22.5" x14ac:dyDescent="0.3">
      <c r="A2" s="172"/>
      <c r="B2" s="173"/>
      <c r="C2" s="173"/>
      <c r="D2" s="174"/>
      <c r="E2" s="180" t="s">
        <v>225</v>
      </c>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1"/>
    </row>
    <row r="3" spans="1:37" ht="23" thickBot="1" x14ac:dyDescent="0.35">
      <c r="A3" s="172"/>
      <c r="B3" s="173"/>
      <c r="C3" s="173"/>
      <c r="D3" s="174"/>
      <c r="E3" s="182" t="s">
        <v>221</v>
      </c>
      <c r="F3" s="182"/>
      <c r="G3" s="182"/>
      <c r="H3" s="182"/>
      <c r="I3" s="182"/>
      <c r="J3" s="182"/>
      <c r="K3" s="182"/>
      <c r="L3" s="182"/>
      <c r="M3" s="182"/>
      <c r="N3" s="183"/>
      <c r="O3" s="183"/>
      <c r="P3" s="183"/>
      <c r="Q3" s="183"/>
      <c r="R3" s="183"/>
      <c r="S3" s="183"/>
      <c r="T3" s="183"/>
      <c r="U3" s="183"/>
      <c r="V3" s="183"/>
      <c r="W3" s="183"/>
      <c r="X3" s="183"/>
      <c r="Y3" s="182"/>
      <c r="Z3" s="182"/>
      <c r="AA3" s="182"/>
      <c r="AB3" s="182"/>
      <c r="AC3" s="182"/>
      <c r="AD3" s="182"/>
      <c r="AE3" s="182"/>
      <c r="AF3" s="182"/>
      <c r="AG3" s="182"/>
      <c r="AH3" s="182"/>
      <c r="AI3" s="182"/>
      <c r="AJ3" s="182"/>
      <c r="AK3" s="184"/>
    </row>
    <row r="4" spans="1:37" ht="15" x14ac:dyDescent="0.3">
      <c r="A4" s="172"/>
      <c r="B4" s="173"/>
      <c r="C4" s="173"/>
      <c r="D4" s="174"/>
      <c r="E4" s="185" t="s">
        <v>217</v>
      </c>
      <c r="F4" s="186"/>
      <c r="G4" s="186"/>
      <c r="H4" s="186"/>
      <c r="I4" s="186"/>
      <c r="J4" s="186"/>
      <c r="K4" s="186"/>
      <c r="L4" s="186"/>
      <c r="M4" s="186"/>
      <c r="N4" s="185" t="s">
        <v>218</v>
      </c>
      <c r="O4" s="186"/>
      <c r="P4" s="186"/>
      <c r="Q4" s="186"/>
      <c r="R4" s="186"/>
      <c r="S4" s="186"/>
      <c r="T4" s="186"/>
      <c r="U4" s="186"/>
      <c r="V4" s="186"/>
      <c r="W4" s="186"/>
      <c r="X4" s="189"/>
      <c r="Y4" s="186" t="s">
        <v>219</v>
      </c>
      <c r="Z4" s="186"/>
      <c r="AA4" s="186"/>
      <c r="AB4" s="186"/>
      <c r="AC4" s="186"/>
      <c r="AD4" s="186"/>
      <c r="AE4" s="186"/>
      <c r="AF4" s="186"/>
      <c r="AG4" s="189"/>
      <c r="AH4" s="185" t="s">
        <v>220</v>
      </c>
      <c r="AI4" s="186"/>
      <c r="AJ4" s="186"/>
      <c r="AK4" s="189"/>
    </row>
    <row r="5" spans="1:37" ht="16.5" thickBot="1" x14ac:dyDescent="0.35">
      <c r="A5" s="175"/>
      <c r="B5" s="176"/>
      <c r="C5" s="176"/>
      <c r="D5" s="177"/>
      <c r="E5" s="187">
        <v>45782</v>
      </c>
      <c r="F5" s="188"/>
      <c r="G5" s="188"/>
      <c r="H5" s="188"/>
      <c r="I5" s="188"/>
      <c r="J5" s="188"/>
      <c r="K5" s="188"/>
      <c r="L5" s="188"/>
      <c r="M5" s="188"/>
      <c r="N5" s="190" t="s">
        <v>241</v>
      </c>
      <c r="O5" s="191"/>
      <c r="P5" s="191"/>
      <c r="Q5" s="191"/>
      <c r="R5" s="191"/>
      <c r="S5" s="191"/>
      <c r="T5" s="191"/>
      <c r="U5" s="191"/>
      <c r="V5" s="191"/>
      <c r="W5" s="191"/>
      <c r="X5" s="192"/>
      <c r="Y5" s="188" t="s">
        <v>222</v>
      </c>
      <c r="Z5" s="188"/>
      <c r="AA5" s="188"/>
      <c r="AB5" s="188"/>
      <c r="AC5" s="188"/>
      <c r="AD5" s="188"/>
      <c r="AE5" s="188"/>
      <c r="AF5" s="188"/>
      <c r="AG5" s="193"/>
      <c r="AH5" s="194" t="s">
        <v>223</v>
      </c>
      <c r="AI5" s="188"/>
      <c r="AJ5" s="188"/>
      <c r="AK5" s="193"/>
    </row>
    <row r="6" spans="1:37" x14ac:dyDescent="0.3">
      <c r="AD6" s="116"/>
    </row>
    <row r="7" spans="1:37" ht="13.5" x14ac:dyDescent="0.3">
      <c r="A7" s="145" t="s">
        <v>61</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row>
    <row r="8" spans="1:37" ht="13.5" x14ac:dyDescent="0.3">
      <c r="A8" s="145"/>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row>
    <row r="9" spans="1:37" ht="13.5" x14ac:dyDescent="0.3">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 x14ac:dyDescent="0.25">
      <c r="A10" s="159" t="s">
        <v>213</v>
      </c>
      <c r="B10" s="160"/>
      <c r="C10" s="161" t="s">
        <v>242</v>
      </c>
      <c r="D10" s="162"/>
      <c r="E10" s="162"/>
      <c r="F10" s="162"/>
      <c r="G10" s="162"/>
      <c r="H10" s="162"/>
      <c r="I10" s="162"/>
      <c r="J10" s="162"/>
      <c r="K10" s="162"/>
      <c r="L10" s="162"/>
      <c r="M10" s="162"/>
      <c r="N10" s="163"/>
      <c r="O10" s="164"/>
      <c r="P10" s="165"/>
      <c r="Q10" s="166"/>
      <c r="R10" s="104"/>
      <c r="S10" s="104"/>
      <c r="T10" s="104"/>
      <c r="U10" s="104"/>
      <c r="V10" s="104"/>
      <c r="W10" s="104"/>
      <c r="X10" s="104"/>
      <c r="Y10" s="104"/>
      <c r="Z10" s="104"/>
      <c r="AA10" s="104"/>
      <c r="AB10" s="104"/>
      <c r="AC10" s="104"/>
      <c r="AD10" s="132"/>
      <c r="AE10" s="104"/>
      <c r="AF10" s="104"/>
      <c r="AG10" s="104"/>
      <c r="AH10" s="104"/>
      <c r="AI10" s="104"/>
      <c r="AJ10" s="104"/>
      <c r="AK10" s="104"/>
    </row>
    <row r="11" spans="1:37" ht="49.5" customHeight="1" x14ac:dyDescent="0.25">
      <c r="A11" s="159" t="s">
        <v>62</v>
      </c>
      <c r="B11" s="160"/>
      <c r="C11" s="167" t="s">
        <v>243</v>
      </c>
      <c r="D11" s="162"/>
      <c r="E11" s="162"/>
      <c r="F11" s="162"/>
      <c r="G11" s="162"/>
      <c r="H11" s="162"/>
      <c r="I11" s="162"/>
      <c r="J11" s="162"/>
      <c r="K11" s="162"/>
      <c r="L11" s="162"/>
      <c r="M11" s="162"/>
      <c r="N11" s="163"/>
      <c r="O11" s="104"/>
      <c r="P11" s="104"/>
      <c r="Q11" s="104"/>
      <c r="R11" s="104"/>
      <c r="S11" s="104"/>
      <c r="T11" s="104"/>
      <c r="U11" s="104"/>
      <c r="V11" s="104"/>
      <c r="W11" s="104"/>
      <c r="X11" s="104"/>
      <c r="Y11" s="104"/>
      <c r="Z11" s="104"/>
      <c r="AA11" s="104"/>
      <c r="AB11" s="104"/>
      <c r="AC11" s="104"/>
      <c r="AD11" s="132"/>
      <c r="AE11" s="104"/>
      <c r="AF11" s="104"/>
      <c r="AG11" s="104"/>
      <c r="AH11" s="104"/>
      <c r="AI11" s="104"/>
      <c r="AJ11" s="104"/>
      <c r="AK11" s="104"/>
    </row>
    <row r="12" spans="1:37" ht="76" customHeight="1" x14ac:dyDescent="0.25">
      <c r="A12" s="159" t="s">
        <v>63</v>
      </c>
      <c r="B12" s="160"/>
      <c r="C12" s="167" t="s">
        <v>244</v>
      </c>
      <c r="D12" s="162"/>
      <c r="E12" s="162"/>
      <c r="F12" s="162"/>
      <c r="G12" s="162"/>
      <c r="H12" s="162"/>
      <c r="I12" s="162"/>
      <c r="J12" s="162"/>
      <c r="K12" s="162"/>
      <c r="L12" s="162"/>
      <c r="M12" s="162"/>
      <c r="N12" s="163"/>
      <c r="O12" s="105"/>
      <c r="P12" s="105"/>
      <c r="Q12" s="105"/>
      <c r="R12" s="105"/>
      <c r="S12" s="105"/>
      <c r="T12" s="105"/>
      <c r="U12" s="105"/>
      <c r="V12" s="105"/>
      <c r="W12" s="105"/>
      <c r="X12" s="105"/>
      <c r="Y12" s="105"/>
      <c r="Z12" s="105"/>
      <c r="AA12" s="105"/>
      <c r="AB12" s="105"/>
      <c r="AC12" s="105"/>
      <c r="AD12" s="132"/>
      <c r="AE12" s="105"/>
      <c r="AF12" s="105"/>
      <c r="AG12" s="105"/>
      <c r="AH12" s="105"/>
      <c r="AI12" s="105"/>
      <c r="AJ12" s="105"/>
      <c r="AK12" s="105"/>
    </row>
    <row r="13" spans="1:37" s="118" customFormat="1" x14ac:dyDescent="0.3">
      <c r="A13" s="145" t="s">
        <v>64</v>
      </c>
      <c r="B13" s="140"/>
      <c r="C13" s="140"/>
      <c r="D13" s="140"/>
      <c r="E13" s="140"/>
      <c r="F13" s="140"/>
      <c r="G13" s="140"/>
      <c r="H13" s="145" t="s">
        <v>65</v>
      </c>
      <c r="I13" s="140"/>
      <c r="J13" s="140"/>
      <c r="K13" s="140"/>
      <c r="L13" s="140"/>
      <c r="M13" s="140"/>
      <c r="N13" s="140"/>
      <c r="O13" s="145" t="s">
        <v>66</v>
      </c>
      <c r="P13" s="140"/>
      <c r="Q13" s="140"/>
      <c r="R13" s="140"/>
      <c r="S13" s="140"/>
      <c r="T13" s="140"/>
      <c r="U13" s="140"/>
      <c r="V13" s="140"/>
      <c r="W13" s="140"/>
      <c r="X13" s="145" t="s">
        <v>67</v>
      </c>
      <c r="Y13" s="140"/>
      <c r="Z13" s="140"/>
      <c r="AA13" s="140"/>
      <c r="AB13" s="140"/>
      <c r="AC13" s="140"/>
      <c r="AD13" s="140"/>
      <c r="AE13" s="140"/>
      <c r="AF13" s="145" t="s">
        <v>68</v>
      </c>
      <c r="AG13" s="140"/>
      <c r="AH13" s="140"/>
      <c r="AI13" s="140"/>
      <c r="AJ13" s="140"/>
      <c r="AK13" s="140"/>
    </row>
    <row r="14" spans="1:37" s="118" customFormat="1" ht="13.5" x14ac:dyDescent="0.3">
      <c r="A14" s="168" t="s">
        <v>69</v>
      </c>
      <c r="B14" s="145" t="s">
        <v>15</v>
      </c>
      <c r="C14" s="146" t="s">
        <v>17</v>
      </c>
      <c r="D14" s="146" t="s">
        <v>19</v>
      </c>
      <c r="E14" s="145" t="s">
        <v>21</v>
      </c>
      <c r="F14" s="146" t="s">
        <v>23</v>
      </c>
      <c r="G14" s="146" t="s">
        <v>70</v>
      </c>
      <c r="H14" s="146" t="s">
        <v>71</v>
      </c>
      <c r="I14" s="145" t="s">
        <v>72</v>
      </c>
      <c r="J14" s="146" t="s">
        <v>73</v>
      </c>
      <c r="K14" s="146" t="s">
        <v>74</v>
      </c>
      <c r="L14" s="146" t="s">
        <v>75</v>
      </c>
      <c r="M14" s="145" t="s">
        <v>72</v>
      </c>
      <c r="N14" s="146" t="s">
        <v>29</v>
      </c>
      <c r="O14" s="147" t="s">
        <v>76</v>
      </c>
      <c r="P14" s="146" t="s">
        <v>31</v>
      </c>
      <c r="Q14" s="146" t="s">
        <v>33</v>
      </c>
      <c r="R14" s="146" t="s">
        <v>77</v>
      </c>
      <c r="S14" s="140"/>
      <c r="T14" s="140"/>
      <c r="U14" s="140"/>
      <c r="V14" s="140"/>
      <c r="W14" s="140"/>
      <c r="X14" s="147" t="s">
        <v>78</v>
      </c>
      <c r="Y14" s="147" t="s">
        <v>79</v>
      </c>
      <c r="Z14" s="147" t="s">
        <v>72</v>
      </c>
      <c r="AA14" s="147" t="s">
        <v>80</v>
      </c>
      <c r="AB14" s="147" t="s">
        <v>72</v>
      </c>
      <c r="AC14" s="147" t="s">
        <v>240</v>
      </c>
      <c r="AD14" s="136" t="s">
        <v>81</v>
      </c>
      <c r="AE14" s="147" t="s">
        <v>50</v>
      </c>
      <c r="AF14" s="146" t="s">
        <v>68</v>
      </c>
      <c r="AG14" s="146" t="s">
        <v>82</v>
      </c>
      <c r="AH14" s="146" t="s">
        <v>83</v>
      </c>
      <c r="AI14" s="146" t="s">
        <v>84</v>
      </c>
      <c r="AJ14" s="146" t="s">
        <v>85</v>
      </c>
      <c r="AK14" s="146" t="s">
        <v>54</v>
      </c>
    </row>
    <row r="15" spans="1:37" s="118" customFormat="1" ht="94.5" x14ac:dyDescent="0.3">
      <c r="A15" s="140"/>
      <c r="B15" s="140"/>
      <c r="C15" s="140"/>
      <c r="D15" s="140"/>
      <c r="E15" s="140"/>
      <c r="F15" s="140"/>
      <c r="G15" s="140"/>
      <c r="H15" s="140"/>
      <c r="I15" s="140"/>
      <c r="J15" s="140"/>
      <c r="K15" s="140"/>
      <c r="L15" s="140"/>
      <c r="M15" s="140"/>
      <c r="N15" s="140"/>
      <c r="O15" s="140"/>
      <c r="P15" s="140"/>
      <c r="Q15" s="140"/>
      <c r="R15" s="119" t="s">
        <v>86</v>
      </c>
      <c r="S15" s="119" t="s">
        <v>87</v>
      </c>
      <c r="T15" s="119" t="s">
        <v>88</v>
      </c>
      <c r="U15" s="119" t="s">
        <v>89</v>
      </c>
      <c r="V15" s="119" t="s">
        <v>90</v>
      </c>
      <c r="W15" s="119" t="s">
        <v>91</v>
      </c>
      <c r="X15" s="140"/>
      <c r="Y15" s="140"/>
      <c r="Z15" s="140"/>
      <c r="AA15" s="140"/>
      <c r="AB15" s="140"/>
      <c r="AC15" s="140"/>
      <c r="AD15" s="137"/>
      <c r="AE15" s="140"/>
      <c r="AF15" s="140"/>
      <c r="AG15" s="140"/>
      <c r="AH15" s="140"/>
      <c r="AI15" s="140"/>
      <c r="AJ15" s="140"/>
      <c r="AK15" s="140"/>
    </row>
    <row r="16" spans="1:37" ht="146.5" customHeight="1" x14ac:dyDescent="0.3">
      <c r="A16" s="153">
        <v>1</v>
      </c>
      <c r="B16" s="332" t="s">
        <v>197</v>
      </c>
      <c r="C16" s="332" t="s">
        <v>245</v>
      </c>
      <c r="D16" s="332" t="s">
        <v>248</v>
      </c>
      <c r="E16" s="332" t="s">
        <v>251</v>
      </c>
      <c r="F16" s="332" t="s">
        <v>203</v>
      </c>
      <c r="G16" s="333">
        <f>127*12</f>
        <v>1524</v>
      </c>
      <c r="H16" s="139" t="str">
        <f>IF(G16&lt;=0,"",IF(G16&lt;=2,"Muy Baja",IF(G16&lt;=24,"Baja",IF(G16&lt;=500,"Media",IF(G16&lt;=5000,"Alta","Muy Alta")))))</f>
        <v>Alta</v>
      </c>
      <c r="I16" s="141">
        <f>IF(H16="","",IF(H16="Muy Baja",0.2,IF(H16="Baja",0.4,IF(H16="Media",0.6,IF(H16="Alta",0.8,IF(H16="Muy Alta",1,))))))</f>
        <v>0.8</v>
      </c>
      <c r="J16" s="143" t="s">
        <v>151</v>
      </c>
      <c r="K16" s="141" t="str">
        <f>IF(NOT(ISERROR(MATCH(J16,'[1]Tabla Impacto'!$B$221:$B$223,0))),'[1]Tabla Impacto'!$F$223&amp;"Por favor no seleccionar los criterios de impacto(Afectación Económica o presupuestal y Pérdida Reputacional)",J16)</f>
        <v xml:space="preserve">     El riesgo afecta la imagen de la entidad con algunos usuarios de relevancia frente al logro de los objetivos</v>
      </c>
      <c r="L16" s="139" t="str">
        <f>IF(OR(K16='[1]Tabla Impacto'!$C$11,K16='[1]Tabla Impacto'!$D$11),"Leve",IF(OR(K16='[1]Tabla Impacto'!$C$12,K16='[1]Tabla Impacto'!$D$12),"Menor",IF(OR(K16='[1]Tabla Impacto'!$C$13,K16='[1]Tabla Impacto'!$D$13),"Moderado",IF(OR(K16='[1]Tabla Impacto'!$C$14,K16='[1]Tabla Impacto'!$D$14),"Mayor",IF(OR(K16='[1]Tabla Impacto'!$C$15,K16='[1]Tabla Impacto'!$D$15),"Catastrófico","")))))</f>
        <v>Moderado</v>
      </c>
      <c r="M16" s="141">
        <f>IF(L16="","",IF(L16="Leve",0.2,IF(L16="Menor",0.4,IF(L16="Moderado",0.6,IF(L16="Mayor",0.8,IF(L16="Catastrófico",1,))))))</f>
        <v>0.6</v>
      </c>
      <c r="N16" s="14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06">
        <v>1</v>
      </c>
      <c r="P16" s="130" t="s">
        <v>254</v>
      </c>
      <c r="Q16" s="110" t="str">
        <f t="shared" ref="Q16:Q43" si="0">IF(OR(R16="Preventivo",R16="Detectivo"),"Probabilidad",IF(R16="Correctivo","Impacto",""))</f>
        <v>Probabilidad</v>
      </c>
      <c r="R16" s="108" t="s">
        <v>169</v>
      </c>
      <c r="S16" s="108" t="s">
        <v>175</v>
      </c>
      <c r="T16" s="111" t="str">
        <f t="shared" ref="T16:T40" si="1">IF(AND(R16="Preventivo",S16="Automático"),"50%",IF(AND(R16="Preventivo",S16="Manual"),"40%",IF(AND(R16="Detectivo",S16="Automático"),"40%",IF(AND(R16="Detectivo",S16="Manual"),"30%",IF(AND(R16="Correctivo",S16="Automático"),"35%",IF(AND(R16="Correctivo",S16="Manual"),"25%",""))))))</f>
        <v>30%</v>
      </c>
      <c r="U16" s="131" t="s">
        <v>178</v>
      </c>
      <c r="V16" s="131" t="s">
        <v>183</v>
      </c>
      <c r="W16" s="131" t="s">
        <v>187</v>
      </c>
      <c r="X16" s="112">
        <f>IFERROR(IF(Q16="Probabilidad",(I16-(+I16*T16)),IF(Q16="Impacto",I16,"")),"")</f>
        <v>0.56000000000000005</v>
      </c>
      <c r="Y16" s="113" t="str">
        <f t="shared" ref="Y16:Y43" si="2">IFERROR(IF(X16="","",IF(X16&lt;=0.2,"Muy Baja",IF(X16&lt;=0.4,"Baja",IF(X16&lt;=0.6,"Media",IF(X16&lt;=0.8,"Alta","Muy Alta"))))),"")</f>
        <v>Media</v>
      </c>
      <c r="Z16" s="111">
        <f t="shared" ref="Z16:Z43" si="3">+X16</f>
        <v>0.56000000000000005</v>
      </c>
      <c r="AA16" s="113" t="str">
        <f t="shared" ref="AA16:AA43" si="4">IFERROR(IF(AB16="","",IF(AB16&lt;=0.2,"Leve",IF(AB16&lt;=0.4,"Menor",IF(AB16&lt;=0.6,"Moderado",IF(AB16&lt;=0.8,"Mayor","Catastrófico"))))),"")</f>
        <v>Moderado</v>
      </c>
      <c r="AB16" s="111">
        <f>IFERROR(IF(Q16="Impacto",(M16-(+M16*T16)),IF(Q16="Probabilidad",M16,"")),"")</f>
        <v>0.6</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3"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Moderado</v>
      </c>
      <c r="AE16" s="156" t="s">
        <v>198</v>
      </c>
      <c r="AF16" s="107"/>
      <c r="AG16" s="107"/>
      <c r="AH16" s="109"/>
      <c r="AI16" s="109"/>
      <c r="AJ16" s="107"/>
      <c r="AK16" s="106"/>
    </row>
    <row r="17" spans="1:37" ht="13.5" hidden="1" x14ac:dyDescent="0.3">
      <c r="A17" s="154"/>
      <c r="B17" s="334"/>
      <c r="C17" s="332"/>
      <c r="D17" s="332"/>
      <c r="E17" s="334"/>
      <c r="F17" s="334"/>
      <c r="G17" s="334"/>
      <c r="H17" s="140"/>
      <c r="I17" s="140"/>
      <c r="J17" s="144"/>
      <c r="K17" s="140"/>
      <c r="L17" s="140"/>
      <c r="M17" s="140"/>
      <c r="N17" s="140"/>
      <c r="O17" s="106">
        <v>2</v>
      </c>
      <c r="P17" s="130"/>
      <c r="Q17" s="110" t="str">
        <f t="shared" si="0"/>
        <v/>
      </c>
      <c r="R17" s="108"/>
      <c r="S17" s="108"/>
      <c r="T17" s="111" t="str">
        <f t="shared" ref="T17:T18" si="6">IF(AND(R17="Preventivo",S17="Automático"),"50%",IF(AND(R17="Preventivo",S17="Manual"),"40%",IF(AND(R17="Detectivo",S17="Automático"),"40%",IF(AND(R17="Detectivo",S17="Manual"),"30%",IF(AND(R17="Correctivo",S17="Automático"),"35%",IF(AND(R17="Correctivo",S17="Manual"),"25%",""))))))</f>
        <v/>
      </c>
      <c r="U17" s="131"/>
      <c r="V17" s="131"/>
      <c r="W17" s="131"/>
      <c r="X17" s="112" t="str">
        <f>IFERROR(IF(AND(Q16="Probabilidad",Q17="Probabilidad"),(Z16-(+Z16*T17)),IF(Q17="Probabilidad",(I16-(+I16*T17)),IF(Q17="Impacto",Z16,""))),"")</f>
        <v/>
      </c>
      <c r="Y17" s="113" t="str">
        <f t="shared" si="2"/>
        <v/>
      </c>
      <c r="Z17" s="111" t="str">
        <f t="shared" si="3"/>
        <v/>
      </c>
      <c r="AA17" s="113" t="str">
        <f t="shared" si="4"/>
        <v/>
      </c>
      <c r="AB17" s="111" t="str">
        <f>IFERROR(IF(AND(Q16="Impacto",Q17="Impacto"),(AB16-(+AB16*T17)),IF(Q17="Impacto",($M$16-(+$M$16*T17)),IF(Q17="Probabilidad",AB16,""))),"")</f>
        <v/>
      </c>
      <c r="AC17" s="114" t="str">
        <f t="shared" si="5"/>
        <v/>
      </c>
      <c r="AD17" s="134"/>
      <c r="AE17" s="157"/>
      <c r="AF17" s="107"/>
      <c r="AG17" s="107"/>
      <c r="AH17" s="109"/>
      <c r="AI17" s="109"/>
      <c r="AJ17" s="107"/>
      <c r="AK17" s="106"/>
    </row>
    <row r="18" spans="1:37" ht="112.5" hidden="1" customHeight="1" x14ac:dyDescent="0.3">
      <c r="A18" s="155"/>
      <c r="B18" s="334"/>
      <c r="C18" s="332"/>
      <c r="D18" s="332"/>
      <c r="E18" s="334"/>
      <c r="F18" s="334"/>
      <c r="G18" s="334"/>
      <c r="H18" s="140"/>
      <c r="I18" s="140"/>
      <c r="J18" s="144"/>
      <c r="K18" s="140"/>
      <c r="L18" s="140"/>
      <c r="M18" s="140"/>
      <c r="N18" s="140"/>
      <c r="O18" s="106">
        <v>3</v>
      </c>
      <c r="P18" s="130"/>
      <c r="Q18" s="110" t="str">
        <f t="shared" si="0"/>
        <v/>
      </c>
      <c r="R18" s="108"/>
      <c r="S18" s="108"/>
      <c r="T18" s="111" t="str">
        <f t="shared" si="6"/>
        <v/>
      </c>
      <c r="U18" s="131"/>
      <c r="V18" s="131"/>
      <c r="W18" s="131"/>
      <c r="X18" s="112" t="str">
        <f>IFERROR(IF(AND(Q17="Probabilidad",Q18="Probabilidad"),(Z17-(+Z17*T18)),IF(AND(Q17="Impacto",Q18="Probabilidad"),(Z16-(+Z16*T18)),IF(Q18="Impacto",Z17,""))),"")</f>
        <v/>
      </c>
      <c r="Y18" s="113" t="str">
        <f t="shared" si="2"/>
        <v/>
      </c>
      <c r="Z18" s="111" t="str">
        <f t="shared" si="3"/>
        <v/>
      </c>
      <c r="AA18" s="113" t="str">
        <f t="shared" si="4"/>
        <v/>
      </c>
      <c r="AB18" s="111" t="str">
        <f>IFERROR(IF(AND(Q17="Impacto",Q18="Impacto"),(AB17-(+AB17*T18)),IF(AND(Q17="Probabilidad",Q18="Impacto"),(AB16-(+AB16*T18)),IF(Q18="Probabilidad",AB17,""))),"")</f>
        <v/>
      </c>
      <c r="AC18" s="114" t="str">
        <f t="shared" si="5"/>
        <v/>
      </c>
      <c r="AD18" s="135"/>
      <c r="AE18" s="158"/>
      <c r="AF18" s="107"/>
      <c r="AG18" s="107"/>
      <c r="AH18" s="109"/>
      <c r="AI18" s="109"/>
      <c r="AJ18" s="107"/>
      <c r="AK18" s="106"/>
    </row>
    <row r="19" spans="1:37" ht="18.75" hidden="1" customHeight="1" x14ac:dyDescent="0.3">
      <c r="A19" s="122"/>
      <c r="B19" s="335"/>
      <c r="C19" s="335"/>
      <c r="D19" s="335"/>
      <c r="E19" s="335"/>
      <c r="F19" s="335"/>
      <c r="G19" s="336"/>
      <c r="H19" s="127" t="str">
        <f>IF(G19&lt;=0,"",IF(G19&lt;=2,"Muy Baja",IF(G19&lt;=24,"Baja",IF(G19&lt;=500,"Media",IF(G19&lt;=5000,"Alta","Muy Alta")))))</f>
        <v/>
      </c>
      <c r="I19" s="126" t="str">
        <f>IF(H19="","",IF(H19="Muy Baja",0.2,IF(H19="Baja",0.4,IF(H19="Media",0.6,IF(H19="Alta",0.8,IF(H19="Muy Alta",1,))))))</f>
        <v/>
      </c>
      <c r="J19" s="144"/>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18.75" hidden="1" customHeight="1" x14ac:dyDescent="0.3">
      <c r="A20" s="115"/>
      <c r="B20" s="335"/>
      <c r="C20" s="335"/>
      <c r="D20" s="335"/>
      <c r="E20" s="335"/>
      <c r="F20" s="335"/>
      <c r="G20" s="336"/>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87.5" x14ac:dyDescent="0.3">
      <c r="A21" s="149">
        <v>2</v>
      </c>
      <c r="B21" s="337" t="s">
        <v>197</v>
      </c>
      <c r="C21" s="332" t="s">
        <v>246</v>
      </c>
      <c r="D21" s="332" t="s">
        <v>249</v>
      </c>
      <c r="E21" s="332" t="s">
        <v>252</v>
      </c>
      <c r="F21" s="332" t="s">
        <v>203</v>
      </c>
      <c r="G21" s="333">
        <v>12</v>
      </c>
      <c r="H21" s="139" t="str">
        <f>IF(G21&lt;=0,"",IF(G21&lt;=2,"Muy Baja",IF(G21&lt;=24,"Baja",IF(G21&lt;=500,"Media",IF(G21&lt;=5000,"Alta","Muy Alta")))))</f>
        <v>Baja</v>
      </c>
      <c r="I21" s="141">
        <f>IF(H21="","",IF(H21="Muy Baja",0.2,IF(H21="Baja",0.4,IF(H21="Media",0.6,IF(H21="Alta",0.8,IF(H21="Muy Alta",1,))))))</f>
        <v>0.4</v>
      </c>
      <c r="J21" s="143" t="s">
        <v>151</v>
      </c>
      <c r="K21" s="141" t="str">
        <f>IF(NOT(ISERROR(MATCH(J21,'[1]Tabla Impacto'!$B$221:$B$223,0))),'[1]Tabla Impacto'!$F$223&amp;"Por favor no seleccionar los criterios de impacto(Afectación Económica o presupuestal y Pérdida Reputacional)",J21)</f>
        <v xml:space="preserve">     El riesgo afecta la imagen de la entidad con algunos usuarios de relevancia frente al logro de los objetivos</v>
      </c>
      <c r="L21" s="139" t="str">
        <f>IF(OR(K21='[1]Tabla Impacto'!$C$11,K21='[1]Tabla Impacto'!$D$11),"Leve",IF(OR(K21='[1]Tabla Impacto'!$C$12,K21='[1]Tabla Impacto'!$D$12),"Menor",IF(OR(K21='[1]Tabla Impacto'!$C$13,K21='[1]Tabla Impacto'!$D$13),"Moderado",IF(OR(K21='[1]Tabla Impacto'!$C$14,K21='[1]Tabla Impacto'!$D$14),"Mayor",IF(OR(K21='[1]Tabla Impacto'!$C$15,K21='[1]Tabla Impacto'!$D$15),"Catastrófico","")))))</f>
        <v>Moderado</v>
      </c>
      <c r="M21" s="141">
        <f>IF(L21="","",IF(L21="Leve",0.2,IF(L21="Menor",0.4,IF(L21="Moderado",0.6,IF(L21="Mayor",0.8,IF(L21="Catastrófico",1,))))))</f>
        <v>0.6</v>
      </c>
      <c r="N21" s="142"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06">
        <v>1</v>
      </c>
      <c r="P21" s="130" t="s">
        <v>255</v>
      </c>
      <c r="Q21" s="110" t="str">
        <f t="shared" si="0"/>
        <v>Probabilidad</v>
      </c>
      <c r="R21" s="108" t="s">
        <v>167</v>
      </c>
      <c r="S21" s="108" t="s">
        <v>175</v>
      </c>
      <c r="T21" s="111" t="str">
        <f t="shared" ref="T21:T23" si="9">IF(AND(R21="Preventivo",S21="Automático"),"50%",IF(AND(R21="Preventivo",S21="Manual"),"40%",IF(AND(R21="Detectivo",S21="Automático"),"40%",IF(AND(R21="Detectivo",S21="Manual"),"30%",IF(AND(R21="Correctivo",S21="Automático"),"35%",IF(AND(R21="Correctivo",S21="Manual"),"25%",""))))))</f>
        <v>40%</v>
      </c>
      <c r="U21" s="131" t="s">
        <v>178</v>
      </c>
      <c r="V21" s="131" t="s">
        <v>183</v>
      </c>
      <c r="W21" s="131" t="s">
        <v>187</v>
      </c>
      <c r="X21" s="112">
        <f>IFERROR(IF(Q21="Probabilidad",(I21-(+I21*T21)),IF(Q21="Impacto",I21,"")),"")</f>
        <v>0.24</v>
      </c>
      <c r="Y21" s="113" t="str">
        <f t="shared" si="2"/>
        <v>Baja</v>
      </c>
      <c r="Z21" s="111">
        <f t="shared" si="3"/>
        <v>0.24</v>
      </c>
      <c r="AA21" s="113" t="str">
        <f t="shared" si="4"/>
        <v>Moderado</v>
      </c>
      <c r="AB21" s="111">
        <f>IFERROR(IF(Q21="Impacto",(M21-(+M21*T21)),IF(Q21="Probabilidad",M21,"")),"")</f>
        <v>0.6</v>
      </c>
      <c r="AC21" s="114" t="str">
        <f t="shared" si="5"/>
        <v>Moderado</v>
      </c>
      <c r="AD21" s="133"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Moderado</v>
      </c>
      <c r="AE21" s="156" t="s">
        <v>198</v>
      </c>
      <c r="AF21" s="107"/>
      <c r="AG21" s="107"/>
      <c r="AH21" s="109"/>
      <c r="AI21" s="109"/>
      <c r="AJ21" s="107"/>
      <c r="AK21" s="106"/>
    </row>
    <row r="22" spans="1:37" ht="112.5" x14ac:dyDescent="0.3">
      <c r="A22" s="144"/>
      <c r="B22" s="338"/>
      <c r="C22" s="332"/>
      <c r="D22" s="332"/>
      <c r="E22" s="334"/>
      <c r="F22" s="334"/>
      <c r="G22" s="334"/>
      <c r="H22" s="140"/>
      <c r="I22" s="140"/>
      <c r="J22" s="144"/>
      <c r="K22" s="140"/>
      <c r="L22" s="140"/>
      <c r="M22" s="140"/>
      <c r="N22" s="140"/>
      <c r="O22" s="106">
        <v>2</v>
      </c>
      <c r="P22" s="130" t="s">
        <v>256</v>
      </c>
      <c r="Q22" s="110" t="str">
        <f t="shared" si="0"/>
        <v>Probabilidad</v>
      </c>
      <c r="R22" s="108" t="s">
        <v>169</v>
      </c>
      <c r="S22" s="108" t="s">
        <v>175</v>
      </c>
      <c r="T22" s="111" t="str">
        <f t="shared" si="9"/>
        <v>30%</v>
      </c>
      <c r="U22" s="131" t="s">
        <v>178</v>
      </c>
      <c r="V22" s="131" t="s">
        <v>183</v>
      </c>
      <c r="W22" s="131" t="s">
        <v>187</v>
      </c>
      <c r="X22" s="112">
        <f>IFERROR(IF(AND(Q21="Probabilidad",Q22="Probabilidad"),(Z21-(+Z21*T22)),IF(Q22="Probabilidad",(I21-(+I21*T22)),IF(Q22="Impacto",Z21,""))),"")</f>
        <v>0.16799999999999998</v>
      </c>
      <c r="Y22" s="113" t="str">
        <f t="shared" si="2"/>
        <v>Muy Baja</v>
      </c>
      <c r="Z22" s="111">
        <f t="shared" si="3"/>
        <v>0.16799999999999998</v>
      </c>
      <c r="AA22" s="113" t="str">
        <f t="shared" si="4"/>
        <v>Moderado</v>
      </c>
      <c r="AB22" s="111">
        <f>IFERROR(IF(AND(Q21="Impacto",Q22="Impacto"),(AB21-(+AB21*T22)),IF(Q22="Impacto",($M$16-(+$M$16*T22)),IF(Q22="Probabilidad",AB21,""))),"")</f>
        <v>0.6</v>
      </c>
      <c r="AC22" s="114" t="str">
        <f t="shared" si="5"/>
        <v>Moderado</v>
      </c>
      <c r="AD22" s="134"/>
      <c r="AE22" s="157"/>
      <c r="AF22" s="107"/>
      <c r="AG22" s="107"/>
      <c r="AH22" s="109"/>
      <c r="AI22" s="109"/>
      <c r="AJ22" s="107"/>
      <c r="AK22" s="106"/>
    </row>
    <row r="23" spans="1:37" ht="123.5" hidden="1" customHeight="1" x14ac:dyDescent="0.3">
      <c r="A23" s="144"/>
      <c r="B23" s="339"/>
      <c r="C23" s="332"/>
      <c r="D23" s="332"/>
      <c r="E23" s="334"/>
      <c r="F23" s="334"/>
      <c r="G23" s="334"/>
      <c r="H23" s="140"/>
      <c r="I23" s="140"/>
      <c r="J23" s="144"/>
      <c r="K23" s="140"/>
      <c r="L23" s="140"/>
      <c r="M23" s="140"/>
      <c r="N23" s="140"/>
      <c r="O23" s="106">
        <v>3</v>
      </c>
      <c r="P23" s="130"/>
      <c r="Q23" s="110" t="str">
        <f t="shared" si="0"/>
        <v/>
      </c>
      <c r="R23" s="108"/>
      <c r="S23" s="108"/>
      <c r="T23" s="111" t="str">
        <f t="shared" si="9"/>
        <v/>
      </c>
      <c r="U23" s="131"/>
      <c r="V23" s="131"/>
      <c r="W23" s="131"/>
      <c r="X23" s="112" t="str">
        <f>IFERROR(IF(AND(Q22="Probabilidad",Q23="Probabilidad"),(Z22-(+Z22*T23)),IF(AND(Q22="Impacto",Q23="Probabilidad"),(Z21-(+Z21*T23)),IF(Q23="Impacto",Z22,""))),"")</f>
        <v/>
      </c>
      <c r="Y23" s="113" t="str">
        <f t="shared" si="2"/>
        <v/>
      </c>
      <c r="Z23" s="111" t="str">
        <f t="shared" si="3"/>
        <v/>
      </c>
      <c r="AA23" s="113" t="str">
        <f t="shared" si="4"/>
        <v/>
      </c>
      <c r="AB23" s="111" t="str">
        <f>IFERROR(IF(AND(Q22="Impacto",Q23="Impacto"),(AB22-(+AB22*T23)),IF(AND(Q22="Probabilidad",Q23="Impacto"),(AB21-(+AB21*T23)),IF(Q23="Probabilidad",AB22,""))),"")</f>
        <v/>
      </c>
      <c r="AC23" s="114" t="str">
        <f t="shared" si="5"/>
        <v/>
      </c>
      <c r="AD23" s="135"/>
      <c r="AE23" s="158"/>
      <c r="AF23" s="107"/>
      <c r="AG23" s="107"/>
      <c r="AH23" s="109"/>
      <c r="AI23" s="109"/>
      <c r="AJ23" s="107"/>
      <c r="AK23" s="106"/>
    </row>
    <row r="24" spans="1:37" ht="16.5" hidden="1" customHeight="1" x14ac:dyDescent="0.3">
      <c r="A24" s="115"/>
      <c r="B24" s="335"/>
      <c r="C24" s="335"/>
      <c r="D24" s="335"/>
      <c r="E24" s="335"/>
      <c r="F24" s="335"/>
      <c r="G24" s="336"/>
      <c r="H24" s="127" t="str">
        <f>IF(G24&lt;=0,"",IF(G24&lt;=2,"Muy Baja",IF(G24&lt;=24,"Baja",IF(G24&lt;=500,"Media",IF(G24&lt;=5000,"Alta","Muy Alta")))))</f>
        <v/>
      </c>
      <c r="I24" s="126" t="str">
        <f>IF(H24="","",IF(H24="Muy Baja",0.2,IF(H24="Baja",0.4,IF(H24="Media",0.6,IF(H24="Alta",0.8,IF(H24="Muy Alta",1,))))))</f>
        <v/>
      </c>
      <c r="J24" s="144"/>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6.5" hidden="1" customHeight="1" x14ac:dyDescent="0.3">
      <c r="A25" s="115"/>
      <c r="B25" s="335"/>
      <c r="C25" s="335"/>
      <c r="D25" s="335"/>
      <c r="E25" s="335"/>
      <c r="F25" s="335"/>
      <c r="G25" s="336"/>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150" customHeight="1" x14ac:dyDescent="0.3">
      <c r="A26" s="149">
        <v>3</v>
      </c>
      <c r="B26" s="337" t="s">
        <v>197</v>
      </c>
      <c r="C26" s="332" t="s">
        <v>247</v>
      </c>
      <c r="D26" s="332" t="s">
        <v>250</v>
      </c>
      <c r="E26" s="332" t="s">
        <v>253</v>
      </c>
      <c r="F26" s="332" t="s">
        <v>203</v>
      </c>
      <c r="G26" s="333">
        <v>12</v>
      </c>
      <c r="H26" s="139" t="str">
        <f>IF(G26&lt;=0,"",IF(G26&lt;=2,"Muy Baja",IF(G26&lt;=24,"Baja",IF(G26&lt;=500,"Media",IF(G26&lt;=5000,"Alta","Muy Alta")))))</f>
        <v>Baja</v>
      </c>
      <c r="I26" s="141">
        <f>IF(H26="","",IF(H26="Muy Baja",0.2,IF(H26="Baja",0.4,IF(H26="Media",0.6,IF(H26="Alta",0.8,IF(H26="Muy Alta",1,))))))</f>
        <v>0.4</v>
      </c>
      <c r="J26" s="143" t="s">
        <v>151</v>
      </c>
      <c r="K26" s="141" t="str">
        <f>IF(NOT(ISERROR(MATCH(J26,'[1]Tabla Impacto'!$B$221:$B$223,0))),'[1]Tabla Impacto'!$F$223&amp;"Por favor no seleccionar los criterios de impacto(Afectación Económica o presupuestal y Pérdida Reputacional)",J26)</f>
        <v xml:space="preserve">     El riesgo afecta la imagen de la entidad con algunos usuarios de relevancia frente al logro de los objetivos</v>
      </c>
      <c r="L26" s="139" t="str">
        <f>IF(OR(K26='[1]Tabla Impacto'!$C$11,K26='[1]Tabla Impacto'!$D$11),"Leve",IF(OR(K26='[1]Tabla Impacto'!$C$12,K26='[1]Tabla Impacto'!$D$12),"Menor",IF(OR(K26='[1]Tabla Impacto'!$C$13,K26='[1]Tabla Impacto'!$D$13),"Moderado",IF(OR(K26='[1]Tabla Impacto'!$C$14,K26='[1]Tabla Impacto'!$D$14),"Mayor",IF(OR(K26='[1]Tabla Impacto'!$C$15,K26='[1]Tabla Impacto'!$D$15),"Catastrófico","")))))</f>
        <v>Moderado</v>
      </c>
      <c r="M26" s="141">
        <f>IF(L26="","",IF(L26="Leve",0.2,IF(L26="Menor",0.4,IF(L26="Moderado",0.6,IF(L26="Mayor",0.8,IF(L26="Catastrófico",1,))))))</f>
        <v>0.6</v>
      </c>
      <c r="N26" s="142"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30" t="s">
        <v>257</v>
      </c>
      <c r="Q26" s="110" t="str">
        <f t="shared" si="0"/>
        <v>Probabilidad</v>
      </c>
      <c r="R26" s="108" t="s">
        <v>167</v>
      </c>
      <c r="S26" s="108" t="s">
        <v>175</v>
      </c>
      <c r="T26" s="111" t="str">
        <f t="shared" ref="T26:T28" si="10">IF(AND(R26="Preventivo",S26="Automático"),"50%",IF(AND(R26="Preventivo",S26="Manual"),"40%",IF(AND(R26="Detectivo",S26="Automático"),"40%",IF(AND(R26="Detectivo",S26="Manual"),"30%",IF(AND(R26="Correctivo",S26="Automático"),"35%",IF(AND(R26="Correctivo",S26="Manual"),"25%",""))))))</f>
        <v>40%</v>
      </c>
      <c r="U26" s="131" t="s">
        <v>178</v>
      </c>
      <c r="V26" s="131" t="s">
        <v>183</v>
      </c>
      <c r="W26" s="131" t="s">
        <v>187</v>
      </c>
      <c r="X26" s="112">
        <f>IFERROR(IF(Q26="Probabilidad",(I26-(+I26*T26)),IF(Q26="Impacto",I26,"")),"")</f>
        <v>0.24</v>
      </c>
      <c r="Y26" s="113" t="str">
        <f t="shared" si="2"/>
        <v>Baja</v>
      </c>
      <c r="Z26" s="111">
        <f t="shared" si="3"/>
        <v>0.24</v>
      </c>
      <c r="AA26" s="113" t="str">
        <f t="shared" si="4"/>
        <v>Moderado</v>
      </c>
      <c r="AB26" s="111">
        <f>IFERROR(IF(Q26="Impacto",(M26-(+M26*T26)),IF(Q26="Probabilidad",M26,"")),"")</f>
        <v>0.6</v>
      </c>
      <c r="AC26" s="114" t="str">
        <f t="shared" si="5"/>
        <v>Moderado</v>
      </c>
      <c r="AD26" s="133"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Moderado</v>
      </c>
      <c r="AE26" s="156" t="s">
        <v>198</v>
      </c>
      <c r="AF26" s="107"/>
      <c r="AG26" s="107"/>
      <c r="AH26" s="109"/>
      <c r="AI26" s="109"/>
      <c r="AJ26" s="107"/>
      <c r="AK26" s="106"/>
    </row>
    <row r="27" spans="1:37" ht="13.5" hidden="1" x14ac:dyDescent="0.3">
      <c r="A27" s="144"/>
      <c r="B27" s="338"/>
      <c r="C27" s="332"/>
      <c r="D27" s="332"/>
      <c r="E27" s="334"/>
      <c r="F27" s="334"/>
      <c r="G27" s="334"/>
      <c r="H27" s="140"/>
      <c r="I27" s="140"/>
      <c r="J27" s="144"/>
      <c r="K27" s="140"/>
      <c r="L27" s="140"/>
      <c r="M27" s="140"/>
      <c r="N27" s="140"/>
      <c r="O27" s="106">
        <v>2</v>
      </c>
      <c r="P27" s="130"/>
      <c r="Q27" s="110" t="str">
        <f t="shared" si="0"/>
        <v/>
      </c>
      <c r="R27" s="108"/>
      <c r="S27" s="108"/>
      <c r="T27" s="111" t="str">
        <f t="shared" si="10"/>
        <v/>
      </c>
      <c r="U27" s="131"/>
      <c r="V27" s="131"/>
      <c r="W27" s="131"/>
      <c r="X27" s="112" t="str">
        <f>IFERROR(IF(AND(Q26="Probabilidad",Q27="Probabilidad"),(Z26-(+Z26*T27)),IF(Q27="Probabilidad",(I26-(+I26*T27)),IF(Q27="Impacto",Z26,""))),"")</f>
        <v/>
      </c>
      <c r="Y27" s="113" t="str">
        <f t="shared" si="2"/>
        <v/>
      </c>
      <c r="Z27" s="111" t="str">
        <f t="shared" si="3"/>
        <v/>
      </c>
      <c r="AA27" s="113" t="str">
        <f t="shared" si="4"/>
        <v/>
      </c>
      <c r="AB27" s="111" t="str">
        <f>IFERROR(IF(AND(Q26="Impacto",Q27="Impacto"),(AB26-(+AB26*T27)),IF(Q27="Impacto",($M$16-(+$M$16*T27)),IF(Q27="Probabilidad",AB26,""))),"")</f>
        <v/>
      </c>
      <c r="AC27" s="114" t="str">
        <f t="shared" si="5"/>
        <v/>
      </c>
      <c r="AD27" s="134"/>
      <c r="AE27" s="157"/>
      <c r="AF27" s="107"/>
      <c r="AG27" s="107"/>
      <c r="AH27" s="109"/>
      <c r="AI27" s="109"/>
      <c r="AJ27" s="107"/>
      <c r="AK27" s="106"/>
    </row>
    <row r="28" spans="1:37" ht="133.5" hidden="1" customHeight="1" x14ac:dyDescent="0.3">
      <c r="A28" s="144"/>
      <c r="B28" s="339"/>
      <c r="C28" s="332"/>
      <c r="D28" s="332"/>
      <c r="E28" s="334"/>
      <c r="F28" s="334"/>
      <c r="G28" s="334"/>
      <c r="H28" s="140"/>
      <c r="I28" s="140"/>
      <c r="J28" s="144"/>
      <c r="K28" s="140"/>
      <c r="L28" s="140"/>
      <c r="M28" s="140"/>
      <c r="N28" s="140"/>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135"/>
      <c r="AE28" s="158"/>
      <c r="AF28" s="107"/>
      <c r="AG28" s="107"/>
      <c r="AH28" s="109"/>
      <c r="AI28" s="109"/>
      <c r="AJ28" s="107"/>
      <c r="AK28" s="106"/>
    </row>
    <row r="29" spans="1:37" ht="16.5" hidden="1" customHeight="1" x14ac:dyDescent="0.3">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44"/>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29" hidden="1" customHeight="1" x14ac:dyDescent="0.3">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ht="13.5" hidden="1" x14ac:dyDescent="0.3">
      <c r="A31" s="149">
        <v>4</v>
      </c>
      <c r="B31" s="150"/>
      <c r="C31" s="148"/>
      <c r="D31" s="148"/>
      <c r="E31" s="148"/>
      <c r="F31" s="148"/>
      <c r="G31" s="149"/>
      <c r="H31" s="139" t="str">
        <f>IF(G31&lt;=0,"",IF(G31&lt;=2,"Muy Baja",IF(G31&lt;=24,"Baja",IF(G31&lt;=500,"Media",IF(G31&lt;=5000,"Alta","Muy Alta")))))</f>
        <v/>
      </c>
      <c r="I31" s="141" t="str">
        <f>IF(H31="","",IF(H31="Muy Baja",0.2,IF(H31="Baja",0.4,IF(H31="Media",0.6,IF(H31="Alta",0.8,IF(H31="Muy Alta",1,))))))</f>
        <v/>
      </c>
      <c r="J31" s="143"/>
      <c r="K31" s="141">
        <f>IF(NOT(ISERROR(MATCH(J31,'[1]Tabla Impacto'!$B$221:$B$223,0))),'[1]Tabla Impacto'!$F$223&amp;"Por favor no seleccionar los criterios de impacto(Afectación Económica o presupuestal y Pérdida Reputacional)",J31)</f>
        <v>0</v>
      </c>
      <c r="L31" s="139" t="str">
        <f>IF(OR(K31='[1]Tabla Impacto'!$C$11,K31='[1]Tabla Impacto'!$D$11),"Leve",IF(OR(K31='[1]Tabla Impacto'!$C$12,K31='[1]Tabla Impacto'!$D$12),"Menor",IF(OR(K31='[1]Tabla Impacto'!$C$13,K31='[1]Tabla Impacto'!$D$13),"Moderado",IF(OR(K31='[1]Tabla Impacto'!$C$14,K31='[1]Tabla Impacto'!$D$14),"Mayor",IF(OR(K31='[1]Tabla Impacto'!$C$15,K31='[1]Tabla Impacto'!$D$15),"Catastrófico","")))))</f>
        <v/>
      </c>
      <c r="M31" s="141" t="str">
        <f>IF(L31="","",IF(L31="Leve",0.2,IF(L31="Menor",0.4,IF(L31="Moderado",0.6,IF(L31="Mayor",0.8,IF(L31="Catastrófico",1,))))))</f>
        <v/>
      </c>
      <c r="N31" s="142"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6">
        <v>1</v>
      </c>
      <c r="P31" s="130"/>
      <c r="Q31" s="110" t="str">
        <f t="shared" si="0"/>
        <v/>
      </c>
      <c r="R31" s="108"/>
      <c r="S31" s="108"/>
      <c r="T31" s="111" t="str">
        <f t="shared" ref="T31:T33" si="11">IF(AND(R31="Preventivo",S31="Automático"),"50%",IF(AND(R31="Preventivo",S31="Manual"),"40%",IF(AND(R31="Detectivo",S31="Automático"),"40%",IF(AND(R31="Detectivo",S31="Manual"),"30%",IF(AND(R31="Correctivo",S31="Automático"),"35%",IF(AND(R31="Correctivo",S31="Manual"),"25%",""))))))</f>
        <v/>
      </c>
      <c r="U31" s="131"/>
      <c r="V31" s="131"/>
      <c r="W31" s="131"/>
      <c r="X31" s="112" t="str">
        <f>IFERROR(IF(Q31="Probabilidad",(I31-(+I31*T31)),IF(Q31="Impacto",I31,"")),"")</f>
        <v/>
      </c>
      <c r="Y31" s="113" t="str">
        <f t="shared" si="2"/>
        <v/>
      </c>
      <c r="Z31" s="111" t="str">
        <f t="shared" si="3"/>
        <v/>
      </c>
      <c r="AA31" s="113" t="str">
        <f t="shared" si="4"/>
        <v/>
      </c>
      <c r="AB31" s="111" t="str">
        <f>IFERROR(IF(Q31="Impacto",(M31-(+M31*T31)),IF(Q31="Probabilidad",M31,"")),"")</f>
        <v/>
      </c>
      <c r="AC31" s="114" t="str">
        <f t="shared" si="5"/>
        <v/>
      </c>
      <c r="AD31" s="133"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156"/>
      <c r="AF31" s="107"/>
      <c r="AG31" s="107"/>
      <c r="AH31" s="109"/>
      <c r="AI31" s="109"/>
      <c r="AJ31" s="107"/>
      <c r="AK31" s="106"/>
    </row>
    <row r="32" spans="1:37" ht="13.5" hidden="1" x14ac:dyDescent="0.3">
      <c r="A32" s="144"/>
      <c r="B32" s="151"/>
      <c r="C32" s="148"/>
      <c r="D32" s="148"/>
      <c r="E32" s="144"/>
      <c r="F32" s="144"/>
      <c r="G32" s="144"/>
      <c r="H32" s="140"/>
      <c r="I32" s="140"/>
      <c r="J32" s="144"/>
      <c r="K32" s="140"/>
      <c r="L32" s="140"/>
      <c r="M32" s="140"/>
      <c r="N32" s="140"/>
      <c r="O32" s="106">
        <v>2</v>
      </c>
      <c r="P32" s="130"/>
      <c r="Q32" s="110" t="str">
        <f t="shared" si="0"/>
        <v/>
      </c>
      <c r="R32" s="108"/>
      <c r="S32" s="108"/>
      <c r="T32" s="111" t="str">
        <f t="shared" si="11"/>
        <v/>
      </c>
      <c r="U32" s="131"/>
      <c r="V32" s="131"/>
      <c r="W32" s="131"/>
      <c r="X32" s="112" t="str">
        <f>IFERROR(IF(AND(Q31="Probabilidad",Q32="Probabilidad"),(Z31-(+Z31*T32)),IF(Q32="Probabilidad",(I31-(+I31*T32)),IF(Q32="Impacto",Z31,""))),"")</f>
        <v/>
      </c>
      <c r="Y32" s="113" t="str">
        <f t="shared" si="2"/>
        <v/>
      </c>
      <c r="Z32" s="111" t="str">
        <f t="shared" si="3"/>
        <v/>
      </c>
      <c r="AA32" s="113" t="str">
        <f t="shared" si="4"/>
        <v/>
      </c>
      <c r="AB32" s="111" t="str">
        <f>IFERROR(IF(AND(Q31="Impacto",Q32="Impacto"),(AB31-(+AB31*T32)),IF(Q32="Impacto",($M$16-(+$M$16*T32)),IF(Q32="Probabilidad",AB31,""))),"")</f>
        <v/>
      </c>
      <c r="AC32" s="114" t="str">
        <f t="shared" si="5"/>
        <v/>
      </c>
      <c r="AD32" s="134"/>
      <c r="AE32" s="157"/>
      <c r="AF32" s="107"/>
      <c r="AG32" s="107"/>
      <c r="AH32" s="109"/>
      <c r="AI32" s="109"/>
      <c r="AJ32" s="107"/>
      <c r="AK32" s="106"/>
    </row>
    <row r="33" spans="1:37" ht="16.5" hidden="1" customHeight="1" x14ac:dyDescent="0.3">
      <c r="A33" s="144"/>
      <c r="B33" s="152"/>
      <c r="C33" s="148"/>
      <c r="D33" s="148"/>
      <c r="E33" s="144"/>
      <c r="F33" s="144"/>
      <c r="G33" s="144"/>
      <c r="H33" s="140"/>
      <c r="I33" s="140"/>
      <c r="J33" s="144"/>
      <c r="K33" s="140"/>
      <c r="L33" s="140"/>
      <c r="M33" s="140"/>
      <c r="N33" s="140"/>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135"/>
      <c r="AE33" s="158"/>
      <c r="AF33" s="107"/>
      <c r="AG33" s="107"/>
      <c r="AH33" s="109"/>
      <c r="AI33" s="109"/>
      <c r="AJ33" s="107"/>
      <c r="AK33" s="106"/>
    </row>
    <row r="34" spans="1:37" ht="16.5" hidden="1" customHeight="1" x14ac:dyDescent="0.3">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3">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ht="13.5" hidden="1" x14ac:dyDescent="0.3">
      <c r="A36" s="149">
        <v>5</v>
      </c>
      <c r="B36" s="150"/>
      <c r="C36" s="148"/>
      <c r="D36" s="148"/>
      <c r="E36" s="148"/>
      <c r="F36" s="148"/>
      <c r="G36" s="149"/>
      <c r="H36" s="139" t="str">
        <f>IF(G36&lt;=0,"",IF(G36&lt;=2,"Muy Baja",IF(G36&lt;=24,"Baja",IF(G36&lt;=500,"Media",IF(G36&lt;=5000,"Alta","Muy Alta")))))</f>
        <v/>
      </c>
      <c r="I36" s="141" t="str">
        <f>IF(H36="","",IF(H36="Muy Baja",0.2,IF(H36="Baja",0.4,IF(H36="Media",0.6,IF(H36="Alta",0.8,IF(H36="Muy Alta",1,))))))</f>
        <v/>
      </c>
      <c r="J36" s="143"/>
      <c r="K36" s="141">
        <f>IF(NOT(ISERROR(MATCH(J36,'[1]Tabla Impacto'!$B$221:$B$223,0))),'[1]Tabla Impacto'!$F$223&amp;"Por favor no seleccionar los criterios de impacto(Afectación Económica o presupuestal y Pérdida Reputacional)",J36)</f>
        <v>0</v>
      </c>
      <c r="L36" s="139" t="str">
        <f>IF(OR(K36='[1]Tabla Impacto'!$C$11,K36='[1]Tabla Impacto'!$D$11),"Leve",IF(OR(K36='[1]Tabla Impacto'!$C$12,K36='[1]Tabla Impacto'!$D$12),"Menor",IF(OR(K36='[1]Tabla Impacto'!$C$13,K36='[1]Tabla Impacto'!$D$13),"Moderado",IF(OR(K36='[1]Tabla Impacto'!$C$14,K36='[1]Tabla Impacto'!$D$14),"Mayor",IF(OR(K36='[1]Tabla Impacto'!$C$15,K36='[1]Tabla Impacto'!$D$15),"Catastrófico","")))))</f>
        <v/>
      </c>
      <c r="M36" s="141" t="str">
        <f>IF(L36="","",IF(L36="Leve",0.2,IF(L36="Menor",0.4,IF(L36="Moderado",0.6,IF(L36="Mayor",0.8,IF(L36="Catastrófico",1,))))))</f>
        <v/>
      </c>
      <c r="N36" s="142"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30"/>
      <c r="Q36" s="110" t="str">
        <f t="shared" si="0"/>
        <v/>
      </c>
      <c r="R36" s="108"/>
      <c r="S36" s="108"/>
      <c r="T36" s="111" t="str">
        <f t="shared" ref="T36:T38" si="12">IF(AND(R36="Preventivo",S36="Automático"),"50%",IF(AND(R36="Preventivo",S36="Manual"),"40%",IF(AND(R36="Detectivo",S36="Automático"),"40%",IF(AND(R36="Detectivo",S36="Manual"),"30%",IF(AND(R36="Correctivo",S36="Automático"),"35%",IF(AND(R36="Correctivo",S36="Manual"),"25%",""))))))</f>
        <v/>
      </c>
      <c r="U36" s="131"/>
      <c r="V36" s="131"/>
      <c r="W36" s="131"/>
      <c r="X36" s="112" t="str">
        <f>IFERROR(IF(Q36="Probabilidad",(I36-(+I36*T36)),IF(Q36="Impacto",I36,"")),"")</f>
        <v/>
      </c>
      <c r="Y36" s="113" t="str">
        <f t="shared" si="2"/>
        <v/>
      </c>
      <c r="Z36" s="111" t="str">
        <f t="shared" si="3"/>
        <v/>
      </c>
      <c r="AA36" s="113" t="str">
        <f t="shared" si="4"/>
        <v/>
      </c>
      <c r="AB36" s="111" t="str">
        <f>IFERROR(IF(Q36="Impacto",(M36-(+M36*T36)),IF(Q36="Probabilidad",M36,"")),"")</f>
        <v/>
      </c>
      <c r="AC36" s="114" t="str">
        <f t="shared" si="5"/>
        <v/>
      </c>
      <c r="AD36" s="133"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156"/>
      <c r="AF36" s="107"/>
      <c r="AG36" s="107"/>
      <c r="AH36" s="109"/>
      <c r="AI36" s="109"/>
      <c r="AJ36" s="107"/>
      <c r="AK36" s="106"/>
    </row>
    <row r="37" spans="1:37" ht="13.5" hidden="1" x14ac:dyDescent="0.3">
      <c r="A37" s="144"/>
      <c r="B37" s="151"/>
      <c r="C37" s="148"/>
      <c r="D37" s="148"/>
      <c r="E37" s="144"/>
      <c r="F37" s="144"/>
      <c r="G37" s="144"/>
      <c r="H37" s="140"/>
      <c r="I37" s="140"/>
      <c r="J37" s="144"/>
      <c r="K37" s="140"/>
      <c r="L37" s="140"/>
      <c r="M37" s="140"/>
      <c r="N37" s="140"/>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134"/>
      <c r="AE37" s="157"/>
      <c r="AF37" s="107"/>
      <c r="AG37" s="107"/>
      <c r="AH37" s="109"/>
      <c r="AI37" s="109"/>
      <c r="AJ37" s="107"/>
      <c r="AK37" s="106"/>
    </row>
    <row r="38" spans="1:37" ht="13.5" hidden="1" x14ac:dyDescent="0.3">
      <c r="A38" s="144"/>
      <c r="B38" s="152"/>
      <c r="C38" s="148"/>
      <c r="D38" s="148"/>
      <c r="E38" s="144"/>
      <c r="F38" s="144"/>
      <c r="G38" s="144"/>
      <c r="H38" s="140"/>
      <c r="I38" s="140"/>
      <c r="J38" s="144"/>
      <c r="K38" s="140"/>
      <c r="L38" s="140"/>
      <c r="M38" s="140"/>
      <c r="N38" s="140"/>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135"/>
      <c r="AE38" s="158"/>
      <c r="AF38" s="107"/>
      <c r="AG38" s="107"/>
      <c r="AH38" s="109"/>
      <c r="AI38" s="109"/>
      <c r="AJ38" s="107"/>
      <c r="AK38" s="106"/>
    </row>
    <row r="39" spans="1:37" ht="16.5" hidden="1" customHeight="1" x14ac:dyDescent="0.3">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16.5" hidden="1" customHeight="1" x14ac:dyDescent="0.3">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ht="13.5" hidden="1" x14ac:dyDescent="0.3">
      <c r="A41" s="149">
        <v>6</v>
      </c>
      <c r="B41" s="150"/>
      <c r="C41" s="148"/>
      <c r="D41" s="148"/>
      <c r="E41" s="148"/>
      <c r="F41" s="148"/>
      <c r="G41" s="149"/>
      <c r="H41" s="139" t="str">
        <f>IF(G41&lt;=0,"",IF(G41&lt;=2,"Muy Baja",IF(G41&lt;=24,"Baja",IF(G41&lt;=500,"Media",IF(G41&lt;=5000,"Alta","Muy Alta")))))</f>
        <v/>
      </c>
      <c r="I41" s="141" t="str">
        <f>IF(H41="","",IF(H41="Muy Baja",0.2,IF(H41="Baja",0.4,IF(H41="Media",0.6,IF(H41="Alta",0.8,IF(H41="Muy Alta",1,))))))</f>
        <v/>
      </c>
      <c r="J41" s="143"/>
      <c r="K41" s="141">
        <f>IF(NOT(ISERROR(MATCH(J41,'[1]Tabla Impacto'!$B$221:$B$223,0))),'[1]Tabla Impacto'!$F$223&amp;"Por favor no seleccionar los criterios de impacto(Afectación Económica o presupuestal y Pérdida Reputacional)",J41)</f>
        <v>0</v>
      </c>
      <c r="L41" s="139" t="str">
        <f>IF(OR(K41='[1]Tabla Impacto'!$C$11,K41='[1]Tabla Impacto'!$D$11),"Leve",IF(OR(K41='[1]Tabla Impacto'!$C$12,K41='[1]Tabla Impacto'!$D$12),"Menor",IF(OR(K41='[1]Tabla Impacto'!$C$13,K41='[1]Tabla Impacto'!$D$13),"Moderado",IF(OR(K41='[1]Tabla Impacto'!$C$14,K41='[1]Tabla Impacto'!$D$14),"Mayor",IF(OR(K41='[1]Tabla Impacto'!$C$15,K41='[1]Tabla Impacto'!$D$15),"Catastrófico","")))))</f>
        <v/>
      </c>
      <c r="M41" s="141" t="str">
        <f>IF(L41="","",IF(L41="Leve",0.2,IF(L41="Menor",0.4,IF(L41="Moderado",0.6,IF(L41="Mayor",0.8,IF(L41="Catastrófico",1,))))))</f>
        <v/>
      </c>
      <c r="N41" s="142"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106">
        <v>1</v>
      </c>
      <c r="P41" s="130"/>
      <c r="Q41" s="110" t="str">
        <f t="shared" si="0"/>
        <v/>
      </c>
      <c r="R41" s="108"/>
      <c r="S41" s="108"/>
      <c r="T41" s="111" t="str">
        <f t="shared" ref="T41:T43" si="13">IF(AND(R41="Preventivo",S41="Automático"),"50%",IF(AND(R41="Preventivo",S41="Manual"),"40%",IF(AND(R41="Detectivo",S41="Automático"),"40%",IF(AND(R41="Detectivo",S41="Manual"),"30%",IF(AND(R41="Correctivo",S41="Automático"),"35%",IF(AND(R41="Correctivo",S41="Manual"),"25%",""))))))</f>
        <v/>
      </c>
      <c r="U41" s="131"/>
      <c r="V41" s="131"/>
      <c r="W41" s="131"/>
      <c r="X41" s="112" t="str">
        <f>IFERROR(IF(Q41="Probabilidad",(I41-(+I41*T41)),IF(Q41="Impacto",I41,"")),"")</f>
        <v/>
      </c>
      <c r="Y41" s="113" t="str">
        <f t="shared" si="2"/>
        <v/>
      </c>
      <c r="Z41" s="111" t="str">
        <f t="shared" si="3"/>
        <v/>
      </c>
      <c r="AA41" s="113" t="str">
        <f t="shared" si="4"/>
        <v/>
      </c>
      <c r="AB41" s="111" t="str">
        <f>IFERROR(IF(Q41="Impacto",(M41-(+M41*T41)),IF(Q41="Probabilidad",M41,"")),"")</f>
        <v/>
      </c>
      <c r="AC41" s="114" t="str">
        <f t="shared" si="5"/>
        <v/>
      </c>
      <c r="AD41" s="133"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156"/>
      <c r="AF41" s="107"/>
      <c r="AG41" s="107"/>
      <c r="AH41" s="109"/>
      <c r="AI41" s="109"/>
      <c r="AJ41" s="107"/>
      <c r="AK41" s="106"/>
    </row>
    <row r="42" spans="1:37" ht="13.5" hidden="1" x14ac:dyDescent="0.3">
      <c r="A42" s="144"/>
      <c r="B42" s="151"/>
      <c r="C42" s="148"/>
      <c r="D42" s="148"/>
      <c r="E42" s="144"/>
      <c r="F42" s="144"/>
      <c r="G42" s="144"/>
      <c r="H42" s="140"/>
      <c r="I42" s="140"/>
      <c r="J42" s="144"/>
      <c r="K42" s="140"/>
      <c r="L42" s="140"/>
      <c r="M42" s="140"/>
      <c r="N42" s="140"/>
      <c r="O42" s="106">
        <v>2</v>
      </c>
      <c r="P42" s="130"/>
      <c r="Q42" s="110" t="str">
        <f t="shared" si="0"/>
        <v/>
      </c>
      <c r="R42" s="108"/>
      <c r="S42" s="108"/>
      <c r="T42" s="111" t="str">
        <f t="shared" si="13"/>
        <v/>
      </c>
      <c r="U42" s="131"/>
      <c r="V42" s="131"/>
      <c r="W42" s="131"/>
      <c r="X42" s="112" t="str">
        <f>IFERROR(IF(AND(Q41="Probabilidad",Q42="Probabilidad"),(Z41-(+Z41*T42)),IF(Q42="Probabilidad",(I41-(+I41*T42)),IF(Q42="Impacto",Z41,""))),"")</f>
        <v/>
      </c>
      <c r="Y42" s="113" t="str">
        <f t="shared" si="2"/>
        <v/>
      </c>
      <c r="Z42" s="111" t="str">
        <f t="shared" si="3"/>
        <v/>
      </c>
      <c r="AA42" s="113" t="str">
        <f t="shared" si="4"/>
        <v/>
      </c>
      <c r="AB42" s="111" t="str">
        <f>IFERROR(IF(AND(Q41="Impacto",Q42="Impacto"),(AB41-(+AB41*T42)),IF(Q42="Impacto",($M$16-(+$M$16*T42)),IF(Q42="Probabilidad",AB41,""))),"")</f>
        <v/>
      </c>
      <c r="AC42" s="114" t="str">
        <f t="shared" si="5"/>
        <v/>
      </c>
      <c r="AD42" s="134"/>
      <c r="AE42" s="157"/>
      <c r="AF42" s="107"/>
      <c r="AG42" s="107"/>
      <c r="AH42" s="109"/>
      <c r="AI42" s="109"/>
      <c r="AJ42" s="107"/>
      <c r="AK42" s="106"/>
    </row>
    <row r="43" spans="1:37" ht="13.5" hidden="1" x14ac:dyDescent="0.3">
      <c r="A43" s="144"/>
      <c r="B43" s="152"/>
      <c r="C43" s="148"/>
      <c r="D43" s="148"/>
      <c r="E43" s="144"/>
      <c r="F43" s="144"/>
      <c r="G43" s="144"/>
      <c r="H43" s="140"/>
      <c r="I43" s="140"/>
      <c r="J43" s="144"/>
      <c r="K43" s="140"/>
      <c r="L43" s="140"/>
      <c r="M43" s="140"/>
      <c r="N43" s="140"/>
      <c r="O43" s="106">
        <v>3</v>
      </c>
      <c r="P43" s="130"/>
      <c r="Q43" s="110" t="str">
        <f t="shared" si="0"/>
        <v/>
      </c>
      <c r="R43" s="108"/>
      <c r="S43" s="108"/>
      <c r="T43" s="111" t="str">
        <f t="shared" si="13"/>
        <v/>
      </c>
      <c r="U43" s="131"/>
      <c r="V43" s="131"/>
      <c r="W43" s="131"/>
      <c r="X43" s="112" t="str">
        <f>IFERROR(IF(AND(Q42="Probabilidad",Q43="Probabilidad"),(Z42-(+Z42*T43)),IF(AND(Q42="Impacto",Q43="Probabilidad"),(Z41-(+Z41*T43)),IF(Q43="Impacto",Z42,""))),"")</f>
        <v/>
      </c>
      <c r="Y43" s="113" t="str">
        <f t="shared" si="2"/>
        <v/>
      </c>
      <c r="Z43" s="111" t="str">
        <f t="shared" si="3"/>
        <v/>
      </c>
      <c r="AA43" s="113" t="str">
        <f t="shared" si="4"/>
        <v/>
      </c>
      <c r="AB43" s="111" t="str">
        <f>IFERROR(IF(AND(Q42="Impacto",Q43="Impacto"),(AB42-(+AB42*T43)),IF(AND(Q42="Probabilidad",Q43="Impacto"),(AB41-(+AB41*T43)),IF(Q43="Probabilidad",AB42,""))),"")</f>
        <v/>
      </c>
      <c r="AC43" s="114" t="str">
        <f t="shared" si="5"/>
        <v/>
      </c>
      <c r="AD43" s="135"/>
      <c r="AE43" s="158"/>
      <c r="AF43" s="107"/>
      <c r="AG43" s="107"/>
      <c r="AH43" s="109"/>
      <c r="AI43" s="109"/>
      <c r="AJ43" s="107"/>
      <c r="AK43" s="106"/>
    </row>
    <row r="44" spans="1:37" hidden="1" x14ac:dyDescent="0.3">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5"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5" si="16">IFERROR(IF(X44="","",IF(X44&lt;=0.2,"Muy Baja",IF(X44&lt;=0.4,"Baja",IF(X44&lt;=0.6,"Media",IF(X44&lt;=0.8,"Alta","Muy Alta"))))),"")</f>
        <v/>
      </c>
      <c r="Z44" s="111" t="str">
        <f t="shared" ref="Z44:Z45" si="17">+X44</f>
        <v/>
      </c>
      <c r="AA44" s="113" t="str">
        <f t="shared" ref="AA44:AA45" si="18">IFERROR(IF(AB44="","",IF(AB44&lt;=0.2,"Leve",IF(AB44&lt;=0.4,"Menor",IF(AB44&lt;=0.6,"Moderado",IF(AB44&lt;=0.8,"Mayor","Catastrófico"))))),"")</f>
        <v/>
      </c>
      <c r="AB44" s="111" t="str">
        <f t="shared" ref="AB44:AB45" si="19">IFERROR(IF(Q44="Impacto",(M44-(+M44*T44)),IF(Q44="Probabilidad",M44,"")),"")</f>
        <v/>
      </c>
      <c r="AC44" s="114"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3">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s="118" customFormat="1" ht="13.5" x14ac:dyDescent="0.3">
      <c r="A46" s="110"/>
      <c r="B46" s="138" t="s">
        <v>216</v>
      </c>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row>
    <row r="47" spans="1:37" x14ac:dyDescent="0.3">
      <c r="B47" s="120" t="s">
        <v>92</v>
      </c>
      <c r="AD47" s="117"/>
    </row>
    <row r="48" spans="1:37" x14ac:dyDescent="0.3">
      <c r="AD48" s="117"/>
    </row>
  </sheetData>
  <sheetProtection algorithmName="SHA-512" hashValue="MJRnfmb/iEo5Vm36kQGX4mvnn/sm+PUdMubom25awPv/uaeFRIh/e+DZ9pZdLlE6rIk9FHEthKvKQbpat+tXmA==" saltValue="FNqcJvtdn8zvMhAKBC2LDA==" spinCount="100000" sheet="1" formatCells="0" formatColumns="0" formatRows="0" insertRows="0" insertHyperlinks="0" deleteRows="0" selectLockedCells="1" sort="0" autoFilter="0"/>
  <mergeCells count="155">
    <mergeCell ref="J16:J19"/>
    <mergeCell ref="J21:J24"/>
    <mergeCell ref="J26:J29"/>
    <mergeCell ref="AE21:AE23"/>
    <mergeCell ref="AE26:AE28"/>
    <mergeCell ref="AE31:AE33"/>
    <mergeCell ref="AE36:AE38"/>
    <mergeCell ref="AE41:AE43"/>
    <mergeCell ref="A1:D5"/>
    <mergeCell ref="E1:AK1"/>
    <mergeCell ref="E2:AK2"/>
    <mergeCell ref="E3:AK3"/>
    <mergeCell ref="E4:M4"/>
    <mergeCell ref="E5:M5"/>
    <mergeCell ref="N4:X4"/>
    <mergeCell ref="N5:X5"/>
    <mergeCell ref="Y4:AG4"/>
    <mergeCell ref="Y5:AG5"/>
    <mergeCell ref="AH4:AK4"/>
    <mergeCell ref="AH5:AK5"/>
    <mergeCell ref="K21:K23"/>
    <mergeCell ref="L21:L23"/>
    <mergeCell ref="M21:M23"/>
    <mergeCell ref="N21:N23"/>
    <mergeCell ref="A21:A23"/>
    <mergeCell ref="B21:B23"/>
    <mergeCell ref="C21:C23"/>
    <mergeCell ref="D21:D23"/>
    <mergeCell ref="E21:E23"/>
    <mergeCell ref="F21:F23"/>
    <mergeCell ref="G21:G23"/>
    <mergeCell ref="K26:K28"/>
    <mergeCell ref="L26:L28"/>
    <mergeCell ref="M26:M28"/>
    <mergeCell ref="N26:N28"/>
    <mergeCell ref="A26:A28"/>
    <mergeCell ref="B26:B28"/>
    <mergeCell ref="C26:C28"/>
    <mergeCell ref="D26:D28"/>
    <mergeCell ref="E26:E28"/>
    <mergeCell ref="F26:F28"/>
    <mergeCell ref="G26:G28"/>
    <mergeCell ref="N31:N33"/>
    <mergeCell ref="A31:A33"/>
    <mergeCell ref="B31:B33"/>
    <mergeCell ref="C31:C33"/>
    <mergeCell ref="D31:D33"/>
    <mergeCell ref="E31:E33"/>
    <mergeCell ref="F31:F33"/>
    <mergeCell ref="G31:G33"/>
    <mergeCell ref="H31:H33"/>
    <mergeCell ref="I31:I33"/>
    <mergeCell ref="J31:J33"/>
    <mergeCell ref="K31:K33"/>
    <mergeCell ref="L31:L33"/>
    <mergeCell ref="M31:M33"/>
    <mergeCell ref="K16:K18"/>
    <mergeCell ref="L16:L18"/>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D36:D38"/>
    <mergeCell ref="E36:E38"/>
    <mergeCell ref="F36:F38"/>
    <mergeCell ref="G36:G38"/>
    <mergeCell ref="J36:J38"/>
    <mergeCell ref="K36:K38"/>
    <mergeCell ref="A41:A43"/>
    <mergeCell ref="B41:B43"/>
    <mergeCell ref="C41:C43"/>
    <mergeCell ref="D41:D43"/>
    <mergeCell ref="E41:E43"/>
    <mergeCell ref="F41:F43"/>
    <mergeCell ref="G41:G43"/>
    <mergeCell ref="H41:H43"/>
    <mergeCell ref="I41:I43"/>
    <mergeCell ref="AD10:AD12"/>
    <mergeCell ref="AD21:AD23"/>
    <mergeCell ref="AD16:AD18"/>
    <mergeCell ref="AD14:AD15"/>
    <mergeCell ref="AD31:AD33"/>
    <mergeCell ref="AD36:AD38"/>
    <mergeCell ref="AD41:AD43"/>
    <mergeCell ref="AD26:AD28"/>
    <mergeCell ref="B46:AK46"/>
    <mergeCell ref="L41:L43"/>
    <mergeCell ref="M41:M43"/>
    <mergeCell ref="N41:N43"/>
    <mergeCell ref="J41:J43"/>
    <mergeCell ref="K41:K43"/>
    <mergeCell ref="L36:L38"/>
    <mergeCell ref="M36:M38"/>
    <mergeCell ref="N36:N38"/>
    <mergeCell ref="B14:B15"/>
    <mergeCell ref="C14:C15"/>
    <mergeCell ref="J14:J15"/>
    <mergeCell ref="K14:K15"/>
    <mergeCell ref="L14:L15"/>
    <mergeCell ref="AC14:AC15"/>
    <mergeCell ref="AE14:AE15"/>
  </mergeCells>
  <conditionalFormatting sqref="H16">
    <cfRule type="cellIs" dxfId="132" priority="181" operator="equal">
      <formula>"Baja"</formula>
    </cfRule>
    <cfRule type="cellIs" dxfId="131" priority="180" operator="equal">
      <formula>"Media"</formula>
    </cfRule>
    <cfRule type="cellIs" dxfId="130" priority="179" operator="equal">
      <formula>"Alta"</formula>
    </cfRule>
    <cfRule type="cellIs" dxfId="129" priority="178" operator="equal">
      <formula>"Muy Alta"</formula>
    </cfRule>
    <cfRule type="cellIs" dxfId="128" priority="182" operator="equal">
      <formula>"Muy Baja"</formula>
    </cfRule>
  </conditionalFormatting>
  <conditionalFormatting sqref="H19:H21">
    <cfRule type="cellIs" dxfId="127" priority="68" operator="equal">
      <formula>"Media"</formula>
    </cfRule>
    <cfRule type="cellIs" dxfId="126" priority="67" operator="equal">
      <formula>"Alta"</formula>
    </cfRule>
    <cfRule type="cellIs" dxfId="125" priority="66" operator="equal">
      <formula>"Muy Alta"</formula>
    </cfRule>
    <cfRule type="cellIs" dxfId="124" priority="70" operator="equal">
      <formula>"Muy Baja"</formula>
    </cfRule>
    <cfRule type="cellIs" dxfId="123" priority="69" operator="equal">
      <formula>"Baja"</formula>
    </cfRule>
  </conditionalFormatting>
  <conditionalFormatting sqref="H24:H26">
    <cfRule type="cellIs" dxfId="122" priority="65" operator="equal">
      <formula>"Muy Baja"</formula>
    </cfRule>
    <cfRule type="cellIs" dxfId="121" priority="61" operator="equal">
      <formula>"Muy Alta"</formula>
    </cfRule>
    <cfRule type="cellIs" dxfId="120" priority="63" operator="equal">
      <formula>"Media"</formula>
    </cfRule>
    <cfRule type="cellIs" dxfId="119" priority="64" operator="equal">
      <formula>"Baja"</formula>
    </cfRule>
    <cfRule type="cellIs" dxfId="118" priority="62" operator="equal">
      <formula>"Alta"</formula>
    </cfRule>
  </conditionalFormatting>
  <conditionalFormatting sqref="H29:H31">
    <cfRule type="cellIs" dxfId="117" priority="60" operator="equal">
      <formula>"Muy Baja"</formula>
    </cfRule>
    <cfRule type="cellIs" dxfId="116" priority="59" operator="equal">
      <formula>"Baja"</formula>
    </cfRule>
    <cfRule type="cellIs" dxfId="115" priority="58" operator="equal">
      <formula>"Media"</formula>
    </cfRule>
    <cfRule type="cellIs" dxfId="114" priority="57" operator="equal">
      <formula>"Alta"</formula>
    </cfRule>
    <cfRule type="cellIs" dxfId="113" priority="56" operator="equal">
      <formula>"Muy Alta"</formula>
    </cfRule>
  </conditionalFormatting>
  <conditionalFormatting sqref="H34:H36">
    <cfRule type="cellIs" dxfId="112" priority="51" operator="equal">
      <formula>"Muy Alta"</formula>
    </cfRule>
    <cfRule type="cellIs" dxfId="111" priority="55" operator="equal">
      <formula>"Muy Baja"</formula>
    </cfRule>
    <cfRule type="cellIs" dxfId="110" priority="54" operator="equal">
      <formula>"Baja"</formula>
    </cfRule>
    <cfRule type="cellIs" dxfId="109" priority="53" operator="equal">
      <formula>"Media"</formula>
    </cfRule>
    <cfRule type="cellIs" dxfId="108" priority="52" operator="equal">
      <formula>"Alta"</formula>
    </cfRule>
  </conditionalFormatting>
  <conditionalFormatting sqref="H39:H41">
    <cfRule type="cellIs" dxfId="107" priority="50" operator="equal">
      <formula>"Muy Baja"</formula>
    </cfRule>
    <cfRule type="cellIs" dxfId="106" priority="49" operator="equal">
      <formula>"Baja"</formula>
    </cfRule>
    <cfRule type="cellIs" dxfId="105" priority="48" operator="equal">
      <formula>"Media"</formula>
    </cfRule>
    <cfRule type="cellIs" dxfId="104" priority="46" operator="equal">
      <formula>"Muy Alta"</formula>
    </cfRule>
    <cfRule type="cellIs" dxfId="103" priority="47" operator="equal">
      <formula>"Alta"</formula>
    </cfRule>
  </conditionalFormatting>
  <conditionalFormatting sqref="H44:H45">
    <cfRule type="cellIs" dxfId="102" priority="189" operator="equal">
      <formula>"Muy Alta"</formula>
    </cfRule>
    <cfRule type="cellIs" dxfId="101" priority="190" operator="equal">
      <formula>"Alta"</formula>
    </cfRule>
    <cfRule type="cellIs" dxfId="100" priority="191" operator="equal">
      <formula>"Media"</formula>
    </cfRule>
    <cfRule type="cellIs" dxfId="99" priority="192" operator="equal">
      <formula>"Baja"</formula>
    </cfRule>
    <cfRule type="cellIs" dxfId="98" priority="193" operator="equal">
      <formula>"Muy Baja"</formula>
    </cfRule>
  </conditionalFormatting>
  <conditionalFormatting sqref="K16:K45">
    <cfRule type="containsText" dxfId="97" priority="183" operator="containsText" text="❌">
      <formula>NOT(ISERROR(SEARCH(("❌"),(K16))))</formula>
    </cfRule>
  </conditionalFormatting>
  <conditionalFormatting sqref="L16">
    <cfRule type="cellIs" dxfId="96" priority="149" operator="equal">
      <formula>"Mayor"</formula>
    </cfRule>
    <cfRule type="cellIs" dxfId="95" priority="148" operator="equal">
      <formula>"Catastrófico"</formula>
    </cfRule>
    <cfRule type="cellIs" dxfId="94" priority="152" operator="equal">
      <formula>"Leve"</formula>
    </cfRule>
    <cfRule type="cellIs" dxfId="93" priority="151" operator="equal">
      <formula>"Menor"</formula>
    </cfRule>
    <cfRule type="cellIs" dxfId="92" priority="150" operator="equal">
      <formula>"Moderado"</formula>
    </cfRule>
  </conditionalFormatting>
  <conditionalFormatting sqref="L19:L21">
    <cfRule type="cellIs" dxfId="91" priority="42" operator="equal">
      <formula>"Mayor"</formula>
    </cfRule>
    <cfRule type="cellIs" dxfId="90" priority="43" operator="equal">
      <formula>"Moderado"</formula>
    </cfRule>
    <cfRule type="cellIs" dxfId="89" priority="44" operator="equal">
      <formula>"Menor"</formula>
    </cfRule>
    <cfRule type="cellIs" dxfId="88" priority="45" operator="equal">
      <formula>"Leve"</formula>
    </cfRule>
    <cfRule type="cellIs" dxfId="87" priority="41" operator="equal">
      <formula>"Catastrófico"</formula>
    </cfRule>
  </conditionalFormatting>
  <conditionalFormatting sqref="L24:L26">
    <cfRule type="cellIs" dxfId="86" priority="37" operator="equal">
      <formula>"Mayor"</formula>
    </cfRule>
    <cfRule type="cellIs" dxfId="85" priority="36" operator="equal">
      <formula>"Catastrófico"</formula>
    </cfRule>
    <cfRule type="cellIs" dxfId="84" priority="38" operator="equal">
      <formula>"Moderado"</formula>
    </cfRule>
    <cfRule type="cellIs" dxfId="83" priority="39" operator="equal">
      <formula>"Menor"</formula>
    </cfRule>
    <cfRule type="cellIs" dxfId="82" priority="40" operator="equal">
      <formula>"Leve"</formula>
    </cfRule>
  </conditionalFormatting>
  <conditionalFormatting sqref="L29:L31">
    <cfRule type="cellIs" dxfId="81" priority="35" operator="equal">
      <formula>"Leve"</formula>
    </cfRule>
    <cfRule type="cellIs" dxfId="80" priority="34" operator="equal">
      <formula>"Menor"</formula>
    </cfRule>
    <cfRule type="cellIs" dxfId="79" priority="32" operator="equal">
      <formula>"Mayor"</formula>
    </cfRule>
    <cfRule type="cellIs" dxfId="78" priority="31" operator="equal">
      <formula>"Catastrófico"</formula>
    </cfRule>
    <cfRule type="cellIs" dxfId="77" priority="33" operator="equal">
      <formula>"Moderado"</formula>
    </cfRule>
  </conditionalFormatting>
  <conditionalFormatting sqref="L34:L36">
    <cfRule type="cellIs" dxfId="76" priority="29" operator="equal">
      <formula>"Menor"</formula>
    </cfRule>
    <cfRule type="cellIs" dxfId="75" priority="30" operator="equal">
      <formula>"Leve"</formula>
    </cfRule>
    <cfRule type="cellIs" dxfId="74" priority="28" operator="equal">
      <formula>"Moderado"</formula>
    </cfRule>
    <cfRule type="cellIs" dxfId="73" priority="27" operator="equal">
      <formula>"Mayor"</formula>
    </cfRule>
    <cfRule type="cellIs" dxfId="72" priority="26" operator="equal">
      <formula>"Catastrófico"</formula>
    </cfRule>
  </conditionalFormatting>
  <conditionalFormatting sqref="L39:L41">
    <cfRule type="cellIs" dxfId="71" priority="25" operator="equal">
      <formula>"Leve"</formula>
    </cfRule>
    <cfRule type="cellIs" dxfId="70" priority="24" operator="equal">
      <formula>"Menor"</formula>
    </cfRule>
    <cfRule type="cellIs" dxfId="69" priority="23" operator="equal">
      <formula>"Moderado"</formula>
    </cfRule>
    <cfRule type="cellIs" dxfId="68" priority="22" operator="equal">
      <formula>"Mayor"</formula>
    </cfRule>
    <cfRule type="cellIs" dxfId="67" priority="21" operator="equal">
      <formula>"Catastrófico"</formula>
    </cfRule>
  </conditionalFormatting>
  <conditionalFormatting sqref="L44:L45">
    <cfRule type="cellIs" dxfId="66" priority="194" operator="equal">
      <formula>"Catastrófico"</formula>
    </cfRule>
    <cfRule type="cellIs" dxfId="65" priority="195" operator="equal">
      <formula>"Mayor"</formula>
    </cfRule>
    <cfRule type="cellIs" dxfId="64" priority="196" operator="equal">
      <formula>"Moderado"</formula>
    </cfRule>
    <cfRule type="cellIs" dxfId="63" priority="197" operator="equal">
      <formula>"Menor"</formula>
    </cfRule>
    <cfRule type="cellIs" dxfId="62" priority="198" operator="equal">
      <formula>"Leve"</formula>
    </cfRule>
  </conditionalFormatting>
  <conditionalFormatting sqref="N16">
    <cfRule type="cellIs" dxfId="61" priority="122" operator="equal">
      <formula>"Bajo"</formula>
    </cfRule>
    <cfRule type="cellIs" dxfId="60" priority="120" operator="equal">
      <formula>"Alto"</formula>
    </cfRule>
    <cfRule type="cellIs" dxfId="59" priority="121" operator="equal">
      <formula>"Moderado"</formula>
    </cfRule>
    <cfRule type="cellIs" dxfId="58" priority="119" operator="equal">
      <formula>"Extremo"</formula>
    </cfRule>
  </conditionalFormatting>
  <conditionalFormatting sqref="N19:N21">
    <cfRule type="cellIs" dxfId="57" priority="18" operator="equal">
      <formula>"Alto"</formula>
    </cfRule>
    <cfRule type="cellIs" dxfId="56" priority="19" operator="equal">
      <formula>"Moderado"</formula>
    </cfRule>
    <cfRule type="cellIs" dxfId="55" priority="20" operator="equal">
      <formula>"Bajo"</formula>
    </cfRule>
    <cfRule type="cellIs" dxfId="54" priority="17" operator="equal">
      <formula>"Extremo"</formula>
    </cfRule>
  </conditionalFormatting>
  <conditionalFormatting sqref="N24:N26">
    <cfRule type="cellIs" dxfId="53" priority="13" operator="equal">
      <formula>"Extremo"</formula>
    </cfRule>
    <cfRule type="cellIs" dxfId="52" priority="14" operator="equal">
      <formula>"Alto"</formula>
    </cfRule>
    <cfRule type="cellIs" dxfId="51" priority="16" operator="equal">
      <formula>"Bajo"</formula>
    </cfRule>
    <cfRule type="cellIs" dxfId="50" priority="15" operator="equal">
      <formula>"Moderado"</formula>
    </cfRule>
  </conditionalFormatting>
  <conditionalFormatting sqref="N29:N31">
    <cfRule type="cellIs" dxfId="49" priority="12" operator="equal">
      <formula>"Bajo"</formula>
    </cfRule>
    <cfRule type="cellIs" dxfId="48" priority="11" operator="equal">
      <formula>"Moderado"</formula>
    </cfRule>
    <cfRule type="cellIs" dxfId="47" priority="10" operator="equal">
      <formula>"Alto"</formula>
    </cfRule>
    <cfRule type="cellIs" dxfId="46" priority="9" operator="equal">
      <formula>"Extremo"</formula>
    </cfRule>
  </conditionalFormatting>
  <conditionalFormatting sqref="N34:N36">
    <cfRule type="cellIs" dxfId="45" priority="7" operator="equal">
      <formula>"Moderado"</formula>
    </cfRule>
    <cfRule type="cellIs" dxfId="44" priority="8" operator="equal">
      <formula>"Bajo"</formula>
    </cfRule>
    <cfRule type="cellIs" dxfId="43" priority="6" operator="equal">
      <formula>"Alto"</formula>
    </cfRule>
    <cfRule type="cellIs" dxfId="42" priority="5" operator="equal">
      <formula>"Extremo"</formula>
    </cfRule>
  </conditionalFormatting>
  <conditionalFormatting sqref="N39:N41">
    <cfRule type="cellIs" dxfId="41" priority="4" operator="equal">
      <formula>"Bajo"</formula>
    </cfRule>
    <cfRule type="cellIs" dxfId="40" priority="3" operator="equal">
      <formula>"Moderado"</formula>
    </cfRule>
    <cfRule type="cellIs" dxfId="39" priority="2" operator="equal">
      <formula>"Alto"</formula>
    </cfRule>
    <cfRule type="cellIs" dxfId="38" priority="1" operator="equal">
      <formula>"Extremo"</formula>
    </cfRule>
  </conditionalFormatting>
  <conditionalFormatting sqref="N44:N45">
    <cfRule type="cellIs" dxfId="37" priority="202" operator="equal">
      <formula>"Bajo"</formula>
    </cfRule>
    <cfRule type="cellIs" dxfId="36" priority="201" operator="equal">
      <formula>"Moderado"</formula>
    </cfRule>
    <cfRule type="cellIs" dxfId="35" priority="200" operator="equal">
      <formula>"Alto"</formula>
    </cfRule>
    <cfRule type="cellIs" dxfId="34" priority="199" operator="equal">
      <formula>"Extremo"</formula>
    </cfRule>
  </conditionalFormatting>
  <conditionalFormatting sqref="Y16:Y45">
    <cfRule type="cellIs" dxfId="33" priority="90" operator="equal">
      <formula>"Alta"</formula>
    </cfRule>
    <cfRule type="cellIs" dxfId="32" priority="91" operator="equal">
      <formula>"Media"</formula>
    </cfRule>
    <cfRule type="cellIs" dxfId="31" priority="92" operator="equal">
      <formula>"Baja"</formula>
    </cfRule>
    <cfRule type="cellIs" dxfId="30" priority="93" operator="equal">
      <formula>"Muy Baja"</formula>
    </cfRule>
    <cfRule type="cellIs" dxfId="29" priority="89" operator="equal">
      <formula>"Muy Alta"</formula>
    </cfRule>
  </conditionalFormatting>
  <conditionalFormatting sqref="AA16:AA45">
    <cfRule type="cellIs" dxfId="28" priority="79" operator="equal">
      <formula>"Catastrófico"</formula>
    </cfRule>
    <cfRule type="cellIs" dxfId="27" priority="80" operator="equal">
      <formula>"Mayor"</formula>
    </cfRule>
    <cfRule type="cellIs" dxfId="26" priority="81" operator="equal">
      <formula>"Moderado"</formula>
    </cfRule>
    <cfRule type="cellIs" dxfId="25" priority="82" operator="equal">
      <formula>"Menor"</formula>
    </cfRule>
    <cfRule type="cellIs" dxfId="24" priority="83" operator="equal">
      <formula>"Leve"</formula>
    </cfRule>
  </conditionalFormatting>
  <conditionalFormatting sqref="AC16:AC45">
    <cfRule type="cellIs" dxfId="23" priority="74" operator="equal">
      <formula>"Bajo"</formula>
    </cfRule>
    <cfRule type="cellIs" dxfId="22" priority="73" operator="equal">
      <formula>"Moderado"</formula>
    </cfRule>
    <cfRule type="cellIs" dxfId="21" priority="72" operator="equal">
      <formula>"Alto"</formula>
    </cfRule>
    <cfRule type="cellIs" dxfId="20" priority="71" operator="equal">
      <formula>"Extremo"</formula>
    </cfRule>
  </conditionalFormatting>
  <conditionalFormatting sqref="AD10:AD11 AD13:AD14 AD16:AD17 AD21:AD22">
    <cfRule type="cellIs" dxfId="19" priority="414" operator="equal">
      <formula>"Bajo"</formula>
    </cfRule>
    <cfRule type="cellIs" dxfId="18" priority="411" operator="equal">
      <formula>"Extremo"</formula>
    </cfRule>
    <cfRule type="cellIs" dxfId="17" priority="412" operator="equal">
      <formula>"Alto"</formula>
    </cfRule>
    <cfRule type="cellIs" dxfId="16" priority="413" operator="equal">
      <formula>"Moderado"</formula>
    </cfRule>
  </conditionalFormatting>
  <conditionalFormatting sqref="AD26:AD27">
    <cfRule type="cellIs" dxfId="15" priority="360" operator="equal">
      <formula>"Alto"</formula>
    </cfRule>
    <cfRule type="cellIs" dxfId="14" priority="359" operator="equal">
      <formula>"Extremo"</formula>
    </cfRule>
    <cfRule type="cellIs" dxfId="13" priority="361" operator="equal">
      <formula>"Moderado"</formula>
    </cfRule>
    <cfRule type="cellIs" dxfId="12" priority="362" operator="equal">
      <formula>"Bajo"</formula>
    </cfRule>
  </conditionalFormatting>
  <conditionalFormatting sqref="AD31:AD32">
    <cfRule type="cellIs" dxfId="11" priority="347" operator="equal">
      <formula>"Extremo"</formula>
    </cfRule>
    <cfRule type="cellIs" dxfId="10" priority="348" operator="equal">
      <formula>"Alto"</formula>
    </cfRule>
    <cfRule type="cellIs" dxfId="9" priority="349" operator="equal">
      <formula>"Moderado"</formula>
    </cfRule>
    <cfRule type="cellIs" dxfId="8" priority="350" operator="equal">
      <formula>"Bajo"</formula>
    </cfRule>
  </conditionalFormatting>
  <conditionalFormatting sqref="AD36:AD37">
    <cfRule type="cellIs" dxfId="7" priority="355" operator="equal">
      <formula>"Extremo"</formula>
    </cfRule>
    <cfRule type="cellIs" dxfId="6" priority="356" operator="equal">
      <formula>"Alto"</formula>
    </cfRule>
    <cfRule type="cellIs" dxfId="5" priority="357" operator="equal">
      <formula>"Moderado"</formula>
    </cfRule>
    <cfRule type="cellIs" dxfId="4" priority="358" operator="equal">
      <formula>"Bajo"</formula>
    </cfRule>
  </conditionalFormatting>
  <conditionalFormatting sqref="AD41:AD42">
    <cfRule type="cellIs" dxfId="3" priority="351" operator="equal">
      <formula>"Extremo"</formula>
    </cfRule>
    <cfRule type="cellIs" dxfId="2" priority="352" operator="equal">
      <formula>"Alto"</formula>
    </cfRule>
    <cfRule type="cellIs" dxfId="1" priority="353" operator="equal">
      <formula>"Moderado"</formula>
    </cfRule>
    <cfRule type="cellIs" dxfId="0" priority="354"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00000000-0002-0000-0000-000000000000}"/>
    <dataValidation allowBlank="1" showInputMessage="1" showErrorMessage="1" promptTitle="OBJETIVO DEL PROCESO/SUBPROCESO" prompt="Debe colocar el objetivo del proceso/subproceso de acuerdo a la caracterización del proceso" sqref="C11:N11" xr:uid="{00000000-0002-0000-0000-000001000000}"/>
    <dataValidation allowBlank="1" showInputMessage="1" showErrorMessage="1" promptTitle="ALCANCE DEL PROCESO/SUBPROCESO" prompt="Debe colocar el alcance del proceso/subproceso, de acuerdo a la caracterización del mismo Incluyendo LIMITE y APLICABILIDAD" sqref="C12:N12" xr:uid="{00000000-0002-0000-0000-000002000000}"/>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20 P22:P44" xr:uid="{00000000-0002-0000-0000-000003000000}"/>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4000000}">
          <x14:formula1>
            <xm:f>'Opciones Tratamiento'!$E$2:$E$4</xm:f>
          </x14:formula1>
          <xm:sqref>B19:B21 B16 B44:B45 B24:B26 B29:B31 B34:B36 B39:B41</xm:sqref>
        </x14:dataValidation>
        <x14:dataValidation type="list" allowBlank="1" showErrorMessage="1" xr:uid="{00000000-0002-0000-0000-000005000000}">
          <x14:formula1>
            <xm:f>'Tabla Impacto'!$F$210:$F$221</xm:f>
          </x14:formula1>
          <xm:sqref>J44:J45 J16 J19:J21 J24:J26 J29:J31 J34:J36 J39:J41</xm:sqref>
        </x14:dataValidation>
        <x14:dataValidation type="list" allowBlank="1" showErrorMessage="1" xr:uid="{00000000-0002-0000-0000-000006000000}">
          <x14:formula1>
            <xm:f>'Opciones Tratamiento'!$B$9:$B$10</xm:f>
          </x14:formula1>
          <xm:sqref>AK16:AK45</xm:sqref>
        </x14:dataValidation>
        <x14:dataValidation type="list" allowBlank="1" showErrorMessage="1" xr:uid="{00000000-0002-0000-0000-000007000000}">
          <x14:formula1>
            <xm:f>'Opciones Tratamiento'!$B$13:$B$19</xm:f>
          </x14:formula1>
          <xm:sqref>F19:F21 F16 F44:F45 F24:F26 F29:F31 F34:F36 F39:F41</xm:sqref>
        </x14:dataValidation>
        <x14:dataValidation type="list" allowBlank="1" showErrorMessage="1" xr:uid="{00000000-0002-0000-0000-000008000000}">
          <x14:formula1>
            <xm:f>'Tabla Valoración controles'!$D$9:$D$10</xm:f>
          </x14:formula1>
          <xm:sqref>U16:U45</xm:sqref>
        </x14:dataValidation>
        <x14:dataValidation type="list" allowBlank="1" showErrorMessage="1" xr:uid="{00000000-0002-0000-0000-000009000000}">
          <x14:formula1>
            <xm:f>'Tabla Valoración controles'!$D$11:$D$12</xm:f>
          </x14:formula1>
          <xm:sqref>V16:V45</xm:sqref>
        </x14:dataValidation>
        <x14:dataValidation type="list" allowBlank="1" showErrorMessage="1" xr:uid="{00000000-0002-0000-0000-00000A000000}">
          <x14:formula1>
            <xm:f>'Tabla Valoración controles'!$D$13:$D$14</xm:f>
          </x14:formula1>
          <xm:sqref>W16:W45</xm:sqref>
        </x14:dataValidation>
        <x14:dataValidation type="list" allowBlank="1" showErrorMessage="1" xr:uid="{00000000-0002-0000-0000-00000B000000}">
          <x14:formula1>
            <xm:f>'Tabla Valoración controles'!$D$7:$D$8</xm:f>
          </x14:formula1>
          <xm:sqref>S16:S45</xm:sqref>
        </x14:dataValidation>
        <x14:dataValidation type="list" allowBlank="1" showErrorMessage="1" xr:uid="{00000000-0002-0000-0000-00000C000000}">
          <x14:formula1>
            <xm:f>'Tabla Valoración controles'!$D$4:$D$6</xm:f>
          </x14:formula1>
          <xm:sqref>R16:R45</xm:sqref>
        </x14:dataValidation>
        <x14:dataValidation type="list" allowBlank="1" showErrorMessage="1" xr:uid="{00000000-0002-0000-0000-00000D000000}">
          <x14:formula1>
            <xm:f>'Opciones Tratamiento'!$B$2:$B$5</xm:f>
          </x14:formula1>
          <xm:sqref>AE16 AE19:AE21 AE24:AE26 AE29:AE31 AE34:AE36 AE39:AE41 AE44:AE45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58203125" defaultRowHeight="15" customHeight="1" x14ac:dyDescent="0.3"/>
  <cols>
    <col min="1" max="1" width="28.75" customWidth="1"/>
    <col min="2" max="26" width="10" customWidth="1"/>
  </cols>
  <sheetData>
    <row r="3" spans="1:1" ht="12.75" customHeight="1" x14ac:dyDescent="0.3">
      <c r="A3" s="97" t="s">
        <v>167</v>
      </c>
    </row>
    <row r="4" spans="1:1" ht="12.75" customHeight="1" x14ac:dyDescent="0.3">
      <c r="A4" s="97" t="s">
        <v>169</v>
      </c>
    </row>
    <row r="5" spans="1:1" ht="12.75" customHeight="1" x14ac:dyDescent="0.3">
      <c r="A5" s="97" t="s">
        <v>171</v>
      </c>
    </row>
    <row r="6" spans="1:1" ht="12.75" customHeight="1" x14ac:dyDescent="0.3">
      <c r="A6" s="97" t="s">
        <v>173</v>
      </c>
    </row>
    <row r="7" spans="1:1" ht="12.75" customHeight="1" x14ac:dyDescent="0.3">
      <c r="A7" s="97" t="s">
        <v>175</v>
      </c>
    </row>
    <row r="8" spans="1:1" ht="12.75" customHeight="1" x14ac:dyDescent="0.3">
      <c r="A8" s="97" t="s">
        <v>178</v>
      </c>
    </row>
    <row r="9" spans="1:1" ht="12.75" customHeight="1" x14ac:dyDescent="0.3">
      <c r="A9" s="97" t="s">
        <v>181</v>
      </c>
    </row>
    <row r="10" spans="1:1" ht="12.75" customHeight="1" x14ac:dyDescent="0.3">
      <c r="A10" s="97" t="s">
        <v>183</v>
      </c>
    </row>
    <row r="11" spans="1:1" ht="12.75" customHeight="1" x14ac:dyDescent="0.3">
      <c r="A11" s="97" t="s">
        <v>185</v>
      </c>
    </row>
    <row r="12" spans="1:1" ht="12.75" customHeight="1" x14ac:dyDescent="0.3">
      <c r="A12" s="97" t="s">
        <v>209</v>
      </c>
    </row>
    <row r="13" spans="1:1" ht="12.75" customHeight="1" x14ac:dyDescent="0.3">
      <c r="A13" s="97" t="s">
        <v>210</v>
      </c>
    </row>
    <row r="14" spans="1:1" ht="12.75" customHeight="1" x14ac:dyDescent="0.3">
      <c r="A14" s="97" t="s">
        <v>211</v>
      </c>
    </row>
    <row r="15" spans="1:1" ht="12.75" customHeight="1" x14ac:dyDescent="0.3">
      <c r="A15" s="96"/>
    </row>
    <row r="16" spans="1:1" ht="12.75" customHeight="1" x14ac:dyDescent="0.3">
      <c r="A16" s="97" t="s">
        <v>212</v>
      </c>
    </row>
    <row r="17" spans="1:1" ht="12.75" customHeight="1" x14ac:dyDescent="0.3">
      <c r="A17" s="97" t="s">
        <v>192</v>
      </c>
    </row>
    <row r="18" spans="1:1" ht="12.75" customHeight="1" x14ac:dyDescent="0.3">
      <c r="A18" s="97" t="s">
        <v>194</v>
      </c>
    </row>
    <row r="19" spans="1:1" ht="12.75" customHeight="1" x14ac:dyDescent="0.3">
      <c r="A19" s="96"/>
    </row>
    <row r="20" spans="1:1" ht="12.75" customHeight="1" x14ac:dyDescent="0.3">
      <c r="A20" s="97" t="s">
        <v>200</v>
      </c>
    </row>
    <row r="21" spans="1:1" ht="12.75" customHeight="1" x14ac:dyDescent="0.3">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workbookViewId="0">
      <selection activeCell="E36" sqref="E36:F36"/>
    </sheetView>
  </sheetViews>
  <sheetFormatPr baseColWidth="10" defaultColWidth="12.58203125" defaultRowHeight="15" customHeight="1" x14ac:dyDescent="0.3"/>
  <cols>
    <col min="1" max="1" width="2.5" customWidth="1"/>
    <col min="2" max="3" width="21.58203125" customWidth="1"/>
    <col min="4" max="4" width="14" customWidth="1"/>
    <col min="5" max="5" width="21.58203125" customWidth="1"/>
    <col min="6" max="6" width="24.25" customWidth="1"/>
    <col min="7" max="8" width="21.58203125" customWidth="1"/>
    <col min="9" max="26" width="10" customWidth="1"/>
  </cols>
  <sheetData>
    <row r="2" spans="2:8" ht="14" x14ac:dyDescent="0.3">
      <c r="B2" s="214" t="s">
        <v>0</v>
      </c>
      <c r="C2" s="215"/>
      <c r="D2" s="215"/>
      <c r="E2" s="215"/>
      <c r="F2" s="215"/>
      <c r="G2" s="215"/>
      <c r="H2" s="216"/>
    </row>
    <row r="3" spans="2:8" ht="14" x14ac:dyDescent="0.3">
      <c r="B3" s="2"/>
      <c r="C3" s="3"/>
      <c r="D3" s="3"/>
      <c r="E3" s="3"/>
      <c r="F3" s="3"/>
      <c r="G3" s="3"/>
      <c r="H3" s="4"/>
    </row>
    <row r="4" spans="2:8" ht="63" customHeight="1" x14ac:dyDescent="0.3">
      <c r="B4" s="217" t="s">
        <v>1</v>
      </c>
      <c r="C4" s="218"/>
      <c r="D4" s="218"/>
      <c r="E4" s="218"/>
      <c r="F4" s="218"/>
      <c r="G4" s="218"/>
      <c r="H4" s="219"/>
    </row>
    <row r="5" spans="2:8" ht="63" customHeight="1" x14ac:dyDescent="0.3">
      <c r="B5" s="220"/>
      <c r="C5" s="221"/>
      <c r="D5" s="221"/>
      <c r="E5" s="221"/>
      <c r="F5" s="221"/>
      <c r="G5" s="221"/>
      <c r="H5" s="222"/>
    </row>
    <row r="6" spans="2:8" ht="14" x14ac:dyDescent="0.3">
      <c r="B6" s="223" t="s">
        <v>2</v>
      </c>
      <c r="C6" s="224"/>
      <c r="D6" s="224"/>
      <c r="E6" s="224"/>
      <c r="F6" s="224"/>
      <c r="G6" s="224"/>
      <c r="H6" s="225"/>
    </row>
    <row r="7" spans="2:8" ht="95.25" customHeight="1" x14ac:dyDescent="0.3">
      <c r="B7" s="226" t="s">
        <v>3</v>
      </c>
      <c r="C7" s="227"/>
      <c r="D7" s="227"/>
      <c r="E7" s="227"/>
      <c r="F7" s="227"/>
      <c r="G7" s="227"/>
      <c r="H7" s="228"/>
    </row>
    <row r="8" spans="2:8" ht="14" x14ac:dyDescent="0.3">
      <c r="B8" s="5"/>
      <c r="C8" s="6"/>
      <c r="D8" s="6"/>
      <c r="E8" s="6"/>
      <c r="F8" s="6"/>
      <c r="G8" s="6"/>
      <c r="H8" s="7"/>
    </row>
    <row r="9" spans="2:8" ht="16.5" customHeight="1" x14ac:dyDescent="0.3">
      <c r="B9" s="229" t="s">
        <v>4</v>
      </c>
      <c r="C9" s="218"/>
      <c r="D9" s="218"/>
      <c r="E9" s="218"/>
      <c r="F9" s="218"/>
      <c r="G9" s="218"/>
      <c r="H9" s="219"/>
    </row>
    <row r="10" spans="2:8" ht="44.25" customHeight="1" x14ac:dyDescent="0.3">
      <c r="B10" s="230"/>
      <c r="C10" s="218"/>
      <c r="D10" s="218"/>
      <c r="E10" s="218"/>
      <c r="F10" s="218"/>
      <c r="G10" s="218"/>
      <c r="H10" s="219"/>
    </row>
    <row r="11" spans="2:8" ht="14" x14ac:dyDescent="0.3">
      <c r="B11" s="8"/>
      <c r="C11" s="9"/>
      <c r="D11" s="10"/>
      <c r="E11" s="11"/>
      <c r="F11" s="11"/>
      <c r="G11" s="11"/>
      <c r="H11" s="12"/>
    </row>
    <row r="12" spans="2:8" ht="14" x14ac:dyDescent="0.3">
      <c r="B12" s="8"/>
      <c r="C12" s="210" t="s">
        <v>5</v>
      </c>
      <c r="D12" s="211"/>
      <c r="E12" s="212" t="s">
        <v>6</v>
      </c>
      <c r="F12" s="213"/>
      <c r="G12" s="9"/>
      <c r="H12" s="12"/>
    </row>
    <row r="13" spans="2:8" ht="35.25" customHeight="1" x14ac:dyDescent="0.3">
      <c r="B13" s="8"/>
      <c r="C13" s="206" t="s">
        <v>7</v>
      </c>
      <c r="D13" s="207"/>
      <c r="E13" s="208" t="s">
        <v>8</v>
      </c>
      <c r="F13" s="209"/>
      <c r="G13" s="9"/>
      <c r="H13" s="12"/>
    </row>
    <row r="14" spans="2:8" ht="17.25" customHeight="1" x14ac:dyDescent="0.3">
      <c r="B14" s="8"/>
      <c r="C14" s="206" t="s">
        <v>9</v>
      </c>
      <c r="D14" s="207"/>
      <c r="E14" s="208" t="s">
        <v>10</v>
      </c>
      <c r="F14" s="209"/>
      <c r="G14" s="9"/>
      <c r="H14" s="12"/>
    </row>
    <row r="15" spans="2:8" ht="19.5" customHeight="1" x14ac:dyDescent="0.3">
      <c r="B15" s="8"/>
      <c r="C15" s="206" t="s">
        <v>11</v>
      </c>
      <c r="D15" s="207"/>
      <c r="E15" s="208" t="s">
        <v>12</v>
      </c>
      <c r="F15" s="209"/>
      <c r="G15" s="9"/>
      <c r="H15" s="12"/>
    </row>
    <row r="16" spans="2:8" ht="69.75" customHeight="1" x14ac:dyDescent="0.3">
      <c r="B16" s="8"/>
      <c r="C16" s="206" t="s">
        <v>13</v>
      </c>
      <c r="D16" s="207"/>
      <c r="E16" s="208" t="s">
        <v>14</v>
      </c>
      <c r="F16" s="209"/>
      <c r="G16" s="9"/>
      <c r="H16" s="12"/>
    </row>
    <row r="17" spans="3:6" ht="34.5" customHeight="1" x14ac:dyDescent="0.3">
      <c r="C17" s="202" t="s">
        <v>15</v>
      </c>
      <c r="D17" s="203"/>
      <c r="E17" s="198" t="s">
        <v>16</v>
      </c>
      <c r="F17" s="199"/>
    </row>
    <row r="18" spans="3:6" ht="27.75" customHeight="1" x14ac:dyDescent="0.3">
      <c r="C18" s="202" t="s">
        <v>17</v>
      </c>
      <c r="D18" s="203"/>
      <c r="E18" s="198" t="s">
        <v>18</v>
      </c>
      <c r="F18" s="199"/>
    </row>
    <row r="19" spans="3:6" ht="28.5" customHeight="1" x14ac:dyDescent="0.3">
      <c r="C19" s="202" t="s">
        <v>19</v>
      </c>
      <c r="D19" s="203"/>
      <c r="E19" s="198" t="s">
        <v>20</v>
      </c>
      <c r="F19" s="199"/>
    </row>
    <row r="20" spans="3:6" ht="72.75" customHeight="1" x14ac:dyDescent="0.3">
      <c r="C20" s="202" t="s">
        <v>21</v>
      </c>
      <c r="D20" s="203"/>
      <c r="E20" s="198" t="s">
        <v>22</v>
      </c>
      <c r="F20" s="199"/>
    </row>
    <row r="21" spans="3:6" ht="64.5" customHeight="1" x14ac:dyDescent="0.3">
      <c r="C21" s="202" t="s">
        <v>23</v>
      </c>
      <c r="D21" s="203"/>
      <c r="E21" s="198" t="s">
        <v>24</v>
      </c>
      <c r="F21" s="199"/>
    </row>
    <row r="22" spans="3:6" ht="71.25" customHeight="1" x14ac:dyDescent="0.3">
      <c r="C22" s="202" t="s">
        <v>25</v>
      </c>
      <c r="D22" s="203"/>
      <c r="E22" s="198" t="s">
        <v>26</v>
      </c>
      <c r="F22" s="199"/>
    </row>
    <row r="23" spans="3:6" ht="55.5" customHeight="1" x14ac:dyDescent="0.3">
      <c r="C23" s="202" t="s">
        <v>27</v>
      </c>
      <c r="D23" s="203"/>
      <c r="E23" s="198" t="s">
        <v>28</v>
      </c>
      <c r="F23" s="199"/>
    </row>
    <row r="24" spans="3:6" ht="42" customHeight="1" x14ac:dyDescent="0.3">
      <c r="C24" s="202" t="s">
        <v>29</v>
      </c>
      <c r="D24" s="203"/>
      <c r="E24" s="198" t="s">
        <v>30</v>
      </c>
      <c r="F24" s="199"/>
    </row>
    <row r="25" spans="3:6" ht="59.25" customHeight="1" x14ac:dyDescent="0.3">
      <c r="C25" s="202" t="s">
        <v>31</v>
      </c>
      <c r="D25" s="203"/>
      <c r="E25" s="198" t="s">
        <v>32</v>
      </c>
      <c r="F25" s="199"/>
    </row>
    <row r="26" spans="3:6" ht="23.25" customHeight="1" x14ac:dyDescent="0.3">
      <c r="C26" s="202" t="s">
        <v>33</v>
      </c>
      <c r="D26" s="203"/>
      <c r="E26" s="198" t="s">
        <v>34</v>
      </c>
      <c r="F26" s="199"/>
    </row>
    <row r="27" spans="3:6" ht="30.75" customHeight="1" x14ac:dyDescent="0.3">
      <c r="C27" s="202" t="s">
        <v>35</v>
      </c>
      <c r="D27" s="203"/>
      <c r="E27" s="198" t="s">
        <v>36</v>
      </c>
      <c r="F27" s="199"/>
    </row>
    <row r="28" spans="3:6" ht="35.25" customHeight="1" x14ac:dyDescent="0.3">
      <c r="C28" s="202" t="s">
        <v>37</v>
      </c>
      <c r="D28" s="203"/>
      <c r="E28" s="198" t="s">
        <v>38</v>
      </c>
      <c r="F28" s="199"/>
    </row>
    <row r="29" spans="3:6" ht="33" customHeight="1" x14ac:dyDescent="0.3">
      <c r="C29" s="202" t="s">
        <v>39</v>
      </c>
      <c r="D29" s="203"/>
      <c r="E29" s="198" t="s">
        <v>38</v>
      </c>
      <c r="F29" s="199"/>
    </row>
    <row r="30" spans="3:6" ht="30" customHeight="1" x14ac:dyDescent="0.3">
      <c r="C30" s="202" t="s">
        <v>40</v>
      </c>
      <c r="D30" s="203"/>
      <c r="E30" s="198" t="s">
        <v>41</v>
      </c>
      <c r="F30" s="199"/>
    </row>
    <row r="31" spans="3:6" ht="35.25" customHeight="1" x14ac:dyDescent="0.3">
      <c r="C31" s="202" t="s">
        <v>42</v>
      </c>
      <c r="D31" s="203"/>
      <c r="E31" s="198" t="s">
        <v>43</v>
      </c>
      <c r="F31" s="199"/>
    </row>
    <row r="32" spans="3:6" ht="31.5" customHeight="1" x14ac:dyDescent="0.3">
      <c r="C32" s="202" t="s">
        <v>44</v>
      </c>
      <c r="D32" s="203"/>
      <c r="E32" s="198" t="s">
        <v>45</v>
      </c>
      <c r="F32" s="199"/>
    </row>
    <row r="33" spans="2:8" ht="35.25" customHeight="1" x14ac:dyDescent="0.3">
      <c r="B33" s="8"/>
      <c r="C33" s="202" t="s">
        <v>46</v>
      </c>
      <c r="D33" s="203"/>
      <c r="E33" s="198" t="s">
        <v>47</v>
      </c>
      <c r="F33" s="199"/>
      <c r="G33" s="9"/>
      <c r="H33" s="12"/>
    </row>
    <row r="34" spans="2:8" ht="59.25" customHeight="1" x14ac:dyDescent="0.3">
      <c r="B34" s="8"/>
      <c r="C34" s="202" t="s">
        <v>48</v>
      </c>
      <c r="D34" s="203"/>
      <c r="E34" s="198" t="s">
        <v>49</v>
      </c>
      <c r="F34" s="199"/>
      <c r="G34" s="9"/>
      <c r="H34" s="12"/>
    </row>
    <row r="35" spans="2:8" ht="29.25" customHeight="1" x14ac:dyDescent="0.3">
      <c r="B35" s="8"/>
      <c r="C35" s="202" t="s">
        <v>50</v>
      </c>
      <c r="D35" s="203"/>
      <c r="E35" s="198" t="s">
        <v>51</v>
      </c>
      <c r="F35" s="199"/>
      <c r="G35" s="9"/>
      <c r="H35" s="12"/>
    </row>
    <row r="36" spans="2:8" ht="82.5" customHeight="1" x14ac:dyDescent="0.3">
      <c r="B36" s="8"/>
      <c r="C36" s="202" t="s">
        <v>52</v>
      </c>
      <c r="D36" s="203"/>
      <c r="E36" s="198" t="s">
        <v>53</v>
      </c>
      <c r="F36" s="199"/>
      <c r="G36" s="9"/>
      <c r="H36" s="12"/>
    </row>
    <row r="37" spans="2:8" ht="46.5" customHeight="1" x14ac:dyDescent="0.3">
      <c r="B37" s="8"/>
      <c r="C37" s="202" t="s">
        <v>54</v>
      </c>
      <c r="D37" s="203"/>
      <c r="E37" s="198" t="s">
        <v>55</v>
      </c>
      <c r="F37" s="199"/>
      <c r="G37" s="9"/>
      <c r="H37" s="12"/>
    </row>
    <row r="38" spans="2:8" ht="6.75" customHeight="1" x14ac:dyDescent="0.3">
      <c r="B38" s="8"/>
      <c r="C38" s="204"/>
      <c r="D38" s="205"/>
      <c r="E38" s="200"/>
      <c r="F38" s="201"/>
      <c r="G38" s="9"/>
      <c r="H38" s="12"/>
    </row>
    <row r="39" spans="2:8" ht="15.75" customHeight="1" x14ac:dyDescent="0.3">
      <c r="B39" s="8"/>
      <c r="C39" s="13"/>
      <c r="D39" s="13"/>
      <c r="E39" s="14"/>
      <c r="F39" s="14"/>
      <c r="G39" s="9"/>
      <c r="H39" s="12"/>
    </row>
    <row r="40" spans="2:8" ht="21" customHeight="1" x14ac:dyDescent="0.3">
      <c r="B40" s="195" t="s">
        <v>56</v>
      </c>
      <c r="C40" s="196"/>
      <c r="D40" s="196"/>
      <c r="E40" s="196"/>
      <c r="F40" s="196"/>
      <c r="G40" s="196"/>
      <c r="H40" s="197"/>
    </row>
    <row r="41" spans="2:8" ht="20.25" customHeight="1" x14ac:dyDescent="0.3">
      <c r="B41" s="195" t="s">
        <v>57</v>
      </c>
      <c r="C41" s="196"/>
      <c r="D41" s="196"/>
      <c r="E41" s="196"/>
      <c r="F41" s="196"/>
      <c r="G41" s="196"/>
      <c r="H41" s="197"/>
    </row>
    <row r="42" spans="2:8" ht="20.25" customHeight="1" x14ac:dyDescent="0.3">
      <c r="B42" s="195" t="s">
        <v>58</v>
      </c>
      <c r="C42" s="196"/>
      <c r="D42" s="196"/>
      <c r="E42" s="196"/>
      <c r="F42" s="196"/>
      <c r="G42" s="196"/>
      <c r="H42" s="197"/>
    </row>
    <row r="43" spans="2:8" ht="20.25" customHeight="1" x14ac:dyDescent="0.3">
      <c r="B43" s="195" t="s">
        <v>59</v>
      </c>
      <c r="C43" s="196"/>
      <c r="D43" s="196"/>
      <c r="E43" s="196"/>
      <c r="F43" s="196"/>
      <c r="G43" s="196"/>
      <c r="H43" s="197"/>
    </row>
    <row r="44" spans="2:8" ht="15.75" customHeight="1" x14ac:dyDescent="0.3">
      <c r="B44" s="195" t="s">
        <v>60</v>
      </c>
      <c r="C44" s="196"/>
      <c r="D44" s="196"/>
      <c r="E44" s="196"/>
      <c r="F44" s="196"/>
      <c r="G44" s="196"/>
      <c r="H44" s="197"/>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zoomScale="40" zoomScaleNormal="40" workbookViewId="0">
      <selection activeCell="V22" sqref="V22:W23"/>
    </sheetView>
  </sheetViews>
  <sheetFormatPr baseColWidth="10" defaultColWidth="12.58203125" defaultRowHeight="15" customHeight="1" x14ac:dyDescent="0.3"/>
  <cols>
    <col min="1" max="1" width="9.33203125" customWidth="1"/>
    <col min="2" max="39" width="5" customWidth="1"/>
    <col min="40" max="40" width="9.33203125" customWidth="1"/>
    <col min="41" max="46" width="5" customWidth="1"/>
    <col min="47" max="61" width="9.33203125" customWidth="1"/>
  </cols>
  <sheetData>
    <row r="2" spans="2:46" ht="18" customHeight="1" x14ac:dyDescent="0.35">
      <c r="B2" s="260" t="s">
        <v>93</v>
      </c>
      <c r="C2" s="218"/>
      <c r="D2" s="218"/>
      <c r="E2" s="218"/>
      <c r="F2" s="218"/>
      <c r="G2" s="218"/>
      <c r="H2" s="218"/>
      <c r="I2" s="218"/>
      <c r="J2" s="261" t="s">
        <v>15</v>
      </c>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44"/>
      <c r="AN2" s="1"/>
      <c r="AO2" s="1"/>
      <c r="AP2" s="1"/>
      <c r="AQ2" s="1"/>
      <c r="AR2" s="1"/>
      <c r="AS2" s="1"/>
      <c r="AT2" s="1"/>
    </row>
    <row r="3" spans="2:46" ht="18.75" customHeight="1" x14ac:dyDescent="0.35">
      <c r="B3" s="218"/>
      <c r="C3" s="218"/>
      <c r="D3" s="218"/>
      <c r="E3" s="218"/>
      <c r="F3" s="218"/>
      <c r="G3" s="218"/>
      <c r="H3" s="218"/>
      <c r="I3" s="218"/>
      <c r="J3" s="263"/>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64"/>
      <c r="AN3" s="1"/>
      <c r="AO3" s="1"/>
      <c r="AP3" s="1"/>
      <c r="AQ3" s="1"/>
      <c r="AR3" s="1"/>
      <c r="AS3" s="1"/>
      <c r="AT3" s="1"/>
    </row>
    <row r="4" spans="2:46" ht="15" customHeight="1" x14ac:dyDescent="0.35">
      <c r="B4" s="218"/>
      <c r="C4" s="218"/>
      <c r="D4" s="218"/>
      <c r="E4" s="218"/>
      <c r="F4" s="218"/>
      <c r="G4" s="218"/>
      <c r="H4" s="218"/>
      <c r="I4" s="218"/>
      <c r="J4" s="233"/>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37"/>
      <c r="AN4" s="1"/>
      <c r="AO4" s="1"/>
      <c r="AP4" s="1"/>
      <c r="AQ4" s="1"/>
      <c r="AR4" s="1"/>
      <c r="AS4" s="1"/>
      <c r="AT4" s="1"/>
    </row>
    <row r="5" spans="2:46" ht="14.5" x14ac:dyDescent="0.3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3">
      <c r="B6" s="266" t="s">
        <v>94</v>
      </c>
      <c r="C6" s="262"/>
      <c r="D6" s="232"/>
      <c r="E6" s="251" t="s">
        <v>95</v>
      </c>
      <c r="F6" s="252"/>
      <c r="G6" s="252"/>
      <c r="H6" s="252"/>
      <c r="I6" s="238"/>
      <c r="J6" s="239" t="str">
        <f>IF(AND('Mapa final'!$H$16="Muy Alta",'Mapa final'!$L$16="Leve"),CONCATENATE("R",'Mapa final'!$A$16),"")</f>
        <v/>
      </c>
      <c r="K6" s="236"/>
      <c r="L6" s="241" t="str">
        <f>IF(AND('Mapa final'!$H$21="Muy Alta",'Mapa final'!$L$21="Leve"),CONCATENATE("R",'Mapa final'!$A$21),"")</f>
        <v/>
      </c>
      <c r="M6" s="236"/>
      <c r="N6" s="241" t="str">
        <f>IF(AND('Mapa final'!$H$26="Muy Alta",'Mapa final'!$L$26="Leve"),CONCATENATE("R",'Mapa final'!$A$26),"")</f>
        <v/>
      </c>
      <c r="O6" s="238"/>
      <c r="P6" s="239" t="str">
        <f>IF(AND('Mapa final'!$H$16="Muy Alta",'Mapa final'!$L$16="Menor"),CONCATENATE("R",'Mapa final'!$A$16),"")</f>
        <v/>
      </c>
      <c r="Q6" s="236"/>
      <c r="R6" s="241" t="str">
        <f>IF(AND('Mapa final'!$H$21="Muy Alta",'Mapa final'!$L$21="Menor"),CONCATENATE("R",'Mapa final'!$A$21),"")</f>
        <v/>
      </c>
      <c r="S6" s="236"/>
      <c r="T6" s="241" t="str">
        <f>IF(AND('Mapa final'!$H$26="Muy Alta",'Mapa final'!$L$26="Menor"),CONCATENATE("R",'Mapa final'!$A$26),"")</f>
        <v/>
      </c>
      <c r="U6" s="238"/>
      <c r="V6" s="239" t="str">
        <f>IF(AND('Mapa final'!$H$16="Muy Alta",'Mapa final'!$L$16="Moderado"),CONCATENATE("R",'Mapa final'!$A$16),"")</f>
        <v/>
      </c>
      <c r="W6" s="236"/>
      <c r="X6" s="241" t="str">
        <f>IF(AND('Mapa final'!$H$21="Muy Alta",'Mapa final'!$L$21="Moderado"),CONCATENATE("R",'Mapa final'!$A$21),"")</f>
        <v/>
      </c>
      <c r="Y6" s="236"/>
      <c r="Z6" s="241" t="str">
        <f>IF(AND('Mapa final'!$H$26="Muy Alta",'Mapa final'!$L$26="Moderado"),CONCATENATE("R",'Mapa final'!$A$26),"")</f>
        <v/>
      </c>
      <c r="AA6" s="238"/>
      <c r="AB6" s="239" t="str">
        <f>IF(AND('Mapa final'!$H$16="Muy Alta",'Mapa final'!$L$16="Mayor"),CONCATENATE("R",'Mapa final'!$A$16),"")</f>
        <v/>
      </c>
      <c r="AC6" s="236"/>
      <c r="AD6" s="241" t="str">
        <f>IF(AND('Mapa final'!$H$21="Muy Alta",'Mapa final'!$L$21="Mayor"),CONCATENATE("R",'Mapa final'!$A$21),"")</f>
        <v/>
      </c>
      <c r="AE6" s="236"/>
      <c r="AF6" s="241" t="str">
        <f>IF(AND('Mapa final'!$H$26="Muy Alta",'Mapa final'!$L$26="Mayor"),CONCATENATE("R",'Mapa final'!$A$26),"")</f>
        <v/>
      </c>
      <c r="AG6" s="238"/>
      <c r="AH6" s="258" t="str">
        <f>IF(AND('Mapa final'!$H$16="Muy Alta",'Mapa final'!$L$16="Catastrófico"),CONCATENATE("R",'Mapa final'!$A$16),"")</f>
        <v/>
      </c>
      <c r="AI6" s="236"/>
      <c r="AJ6" s="242" t="str">
        <f>IF(AND('Mapa final'!$H$21="Muy Alta",'Mapa final'!$L$21="Catastrófico"),CONCATENATE("R",'Mapa final'!$A$21),"")</f>
        <v/>
      </c>
      <c r="AK6" s="236"/>
      <c r="AL6" s="242" t="str">
        <f>IF(AND('Mapa final'!$H$26="Muy Alta",'Mapa final'!$L$26="Catastrófico"),CONCATENATE("R",'Mapa final'!$A$26),"")</f>
        <v/>
      </c>
      <c r="AM6" s="238"/>
      <c r="AO6" s="269" t="s">
        <v>96</v>
      </c>
      <c r="AP6" s="270"/>
      <c r="AQ6" s="270"/>
      <c r="AR6" s="270"/>
      <c r="AS6" s="270"/>
      <c r="AT6" s="271"/>
    </row>
    <row r="7" spans="2:46" ht="15" customHeight="1" x14ac:dyDescent="0.35">
      <c r="B7" s="263"/>
      <c r="C7" s="218"/>
      <c r="D7" s="219"/>
      <c r="E7" s="230"/>
      <c r="F7" s="218"/>
      <c r="G7" s="218"/>
      <c r="H7" s="218"/>
      <c r="I7" s="219"/>
      <c r="J7" s="240"/>
      <c r="K7" s="237"/>
      <c r="L7" s="233"/>
      <c r="M7" s="237"/>
      <c r="N7" s="233"/>
      <c r="O7" s="234"/>
      <c r="P7" s="240"/>
      <c r="Q7" s="237"/>
      <c r="R7" s="233"/>
      <c r="S7" s="237"/>
      <c r="T7" s="233"/>
      <c r="U7" s="234"/>
      <c r="V7" s="240"/>
      <c r="W7" s="237"/>
      <c r="X7" s="233"/>
      <c r="Y7" s="237"/>
      <c r="Z7" s="233"/>
      <c r="AA7" s="234"/>
      <c r="AB7" s="240"/>
      <c r="AC7" s="237"/>
      <c r="AD7" s="233"/>
      <c r="AE7" s="237"/>
      <c r="AF7" s="233"/>
      <c r="AG7" s="234"/>
      <c r="AH7" s="240"/>
      <c r="AI7" s="237"/>
      <c r="AJ7" s="233"/>
      <c r="AK7" s="237"/>
      <c r="AL7" s="233"/>
      <c r="AM7" s="234"/>
      <c r="AN7" s="1"/>
      <c r="AO7" s="272"/>
      <c r="AP7" s="218"/>
      <c r="AQ7" s="218"/>
      <c r="AR7" s="218"/>
      <c r="AS7" s="218"/>
      <c r="AT7" s="273"/>
    </row>
    <row r="8" spans="2:46" ht="15" customHeight="1" x14ac:dyDescent="0.35">
      <c r="B8" s="263"/>
      <c r="C8" s="218"/>
      <c r="D8" s="219"/>
      <c r="E8" s="230"/>
      <c r="F8" s="218"/>
      <c r="G8" s="218"/>
      <c r="H8" s="218"/>
      <c r="I8" s="219"/>
      <c r="J8" s="246" t="str">
        <f>IF(AND('Mapa final'!$H$31="Muy Alta",'Mapa final'!$L$31="Leve"),CONCATENATE("R",'Mapa final'!$A$31),"")</f>
        <v/>
      </c>
      <c r="K8" s="244"/>
      <c r="L8" s="247" t="str">
        <f>IF(AND('Mapa final'!$H$36="Muy Alta",'Mapa final'!$L$36="Leve"),CONCATENATE("R",'Mapa final'!$A$36),"")</f>
        <v/>
      </c>
      <c r="M8" s="244"/>
      <c r="N8" s="247" t="str">
        <f>IF(AND('Mapa final'!$H$41="Muy Alta",'Mapa final'!$L$41="Leve"),CONCATENATE("R",'Mapa final'!$A$41),"")</f>
        <v/>
      </c>
      <c r="O8" s="232"/>
      <c r="P8" s="246" t="str">
        <f>IF(AND('Mapa final'!$H$31="Muy Alta",'Mapa final'!$L$31="Menor"),CONCATENATE("R",'Mapa final'!$A$31),"")</f>
        <v/>
      </c>
      <c r="Q8" s="244"/>
      <c r="R8" s="247" t="str">
        <f>IF(AND('Mapa final'!$H$36="Muy Alta",'Mapa final'!$L$36="Menor"),CONCATENATE("R",'Mapa final'!$A$36),"")</f>
        <v/>
      </c>
      <c r="S8" s="244"/>
      <c r="T8" s="247" t="str">
        <f>IF(AND('Mapa final'!$H$41="Muy Alta",'Mapa final'!$L$41="Menor"),CONCATENATE("R",'Mapa final'!$A$41),"")</f>
        <v/>
      </c>
      <c r="U8" s="232"/>
      <c r="V8" s="246" t="str">
        <f>IF(AND('Mapa final'!$H$31="Muy Alta",'Mapa final'!$L$31="Moderado"),CONCATENATE("R",'Mapa final'!$A$31),"")</f>
        <v/>
      </c>
      <c r="W8" s="244"/>
      <c r="X8" s="247" t="str">
        <f>IF(AND('Mapa final'!$H$36="Muy Alta",'Mapa final'!$L$36="Moderado"),CONCATENATE("R",'Mapa final'!$A$36),"")</f>
        <v/>
      </c>
      <c r="Y8" s="244"/>
      <c r="Z8" s="247" t="str">
        <f>IF(AND('Mapa final'!$H$41="Muy Alta",'Mapa final'!$L$41="Moderado"),CONCATENATE("R",'Mapa final'!$A$41),"")</f>
        <v/>
      </c>
      <c r="AA8" s="232"/>
      <c r="AB8" s="246" t="str">
        <f>IF(AND('Mapa final'!$H$31="Muy Alta",'Mapa final'!$L$31="Mayor"),CONCATENATE("R",'Mapa final'!$A$31),"")</f>
        <v/>
      </c>
      <c r="AC8" s="244"/>
      <c r="AD8" s="247" t="str">
        <f>IF(AND('Mapa final'!$H$36="Muy Alta",'Mapa final'!$L$36="Mayor"),CONCATENATE("R",'Mapa final'!$A$36),"")</f>
        <v/>
      </c>
      <c r="AE8" s="244"/>
      <c r="AF8" s="247" t="str">
        <f>IF(AND('Mapa final'!$H$41="Muy Alta",'Mapa final'!$L$41="Mayor"),CONCATENATE("R",'Mapa final'!$A$41),"")</f>
        <v/>
      </c>
      <c r="AG8" s="232"/>
      <c r="AH8" s="248" t="str">
        <f>IF(AND('Mapa final'!$H$31="Muy Alta",'Mapa final'!$L$31="Catastrófico"),CONCATENATE("R",'Mapa final'!$A$31),"")</f>
        <v/>
      </c>
      <c r="AI8" s="244"/>
      <c r="AJ8" s="249" t="str">
        <f>IF(AND('Mapa final'!$H$36="Muy Alta",'Mapa final'!$L$36="Catastrófico"),CONCATENATE("R",'Mapa final'!$A$36),"")</f>
        <v/>
      </c>
      <c r="AK8" s="244"/>
      <c r="AL8" s="249" t="str">
        <f>IF(AND('Mapa final'!$H$41="Muy Alta",'Mapa final'!$L$41="Catastrófico"),CONCATENATE("R",'Mapa final'!$A$41),"")</f>
        <v/>
      </c>
      <c r="AM8" s="232"/>
      <c r="AN8" s="1"/>
      <c r="AO8" s="272"/>
      <c r="AP8" s="218"/>
      <c r="AQ8" s="218"/>
      <c r="AR8" s="218"/>
      <c r="AS8" s="218"/>
      <c r="AT8" s="273"/>
    </row>
    <row r="9" spans="2:46" ht="15" customHeight="1" x14ac:dyDescent="0.35">
      <c r="B9" s="263"/>
      <c r="C9" s="218"/>
      <c r="D9" s="219"/>
      <c r="E9" s="230"/>
      <c r="F9" s="218"/>
      <c r="G9" s="218"/>
      <c r="H9" s="218"/>
      <c r="I9" s="219"/>
      <c r="J9" s="240"/>
      <c r="K9" s="237"/>
      <c r="L9" s="233"/>
      <c r="M9" s="237"/>
      <c r="N9" s="233"/>
      <c r="O9" s="234"/>
      <c r="P9" s="240"/>
      <c r="Q9" s="237"/>
      <c r="R9" s="233"/>
      <c r="S9" s="237"/>
      <c r="T9" s="233"/>
      <c r="U9" s="234"/>
      <c r="V9" s="240"/>
      <c r="W9" s="237"/>
      <c r="X9" s="233"/>
      <c r="Y9" s="237"/>
      <c r="Z9" s="233"/>
      <c r="AA9" s="234"/>
      <c r="AB9" s="240"/>
      <c r="AC9" s="237"/>
      <c r="AD9" s="233"/>
      <c r="AE9" s="237"/>
      <c r="AF9" s="233"/>
      <c r="AG9" s="234"/>
      <c r="AH9" s="240"/>
      <c r="AI9" s="237"/>
      <c r="AJ9" s="233"/>
      <c r="AK9" s="237"/>
      <c r="AL9" s="233"/>
      <c r="AM9" s="234"/>
      <c r="AN9" s="1"/>
      <c r="AO9" s="272"/>
      <c r="AP9" s="218"/>
      <c r="AQ9" s="218"/>
      <c r="AR9" s="218"/>
      <c r="AS9" s="218"/>
      <c r="AT9" s="273"/>
    </row>
    <row r="10" spans="2:46" ht="15" customHeight="1" x14ac:dyDescent="0.35">
      <c r="B10" s="263"/>
      <c r="C10" s="218"/>
      <c r="D10" s="219"/>
      <c r="E10" s="230"/>
      <c r="F10" s="218"/>
      <c r="G10" s="218"/>
      <c r="H10" s="218"/>
      <c r="I10" s="219"/>
      <c r="J10" s="246" t="e">
        <f>IF(AND('Mapa final'!#REF!="Muy Alta",'Mapa final'!#REF!="Leve"),CONCATENATE("R",'Mapa final'!#REF!),"")</f>
        <v>#REF!</v>
      </c>
      <c r="K10" s="244"/>
      <c r="L10" s="247" t="e">
        <f>IF(AND('Mapa final'!#REF!="Muy Alta",'Mapa final'!#REF!="Leve"),CONCATENATE("R",'Mapa final'!#REF!),"")</f>
        <v>#REF!</v>
      </c>
      <c r="M10" s="244"/>
      <c r="N10" s="247" t="e">
        <f>IF(AND('Mapa final'!#REF!="Muy Alta",'Mapa final'!#REF!="Leve"),CONCATENATE("R",'Mapa final'!#REF!),"")</f>
        <v>#REF!</v>
      </c>
      <c r="O10" s="232"/>
      <c r="P10" s="246" t="e">
        <f>IF(AND('Mapa final'!#REF!="Muy Alta",'Mapa final'!#REF!="Menor"),CONCATENATE("R",'Mapa final'!#REF!),"")</f>
        <v>#REF!</v>
      </c>
      <c r="Q10" s="244"/>
      <c r="R10" s="247" t="e">
        <f>IF(AND('Mapa final'!#REF!="Muy Alta",'Mapa final'!#REF!="Menor"),CONCATENATE("R",'Mapa final'!#REF!),"")</f>
        <v>#REF!</v>
      </c>
      <c r="S10" s="244"/>
      <c r="T10" s="247" t="e">
        <f>IF(AND('Mapa final'!#REF!="Muy Alta",'Mapa final'!#REF!="Menor"),CONCATENATE("R",'Mapa final'!#REF!),"")</f>
        <v>#REF!</v>
      </c>
      <c r="U10" s="232"/>
      <c r="V10" s="246" t="e">
        <f>IF(AND('Mapa final'!#REF!="Muy Alta",'Mapa final'!#REF!="Moderado"),CONCATENATE("R",'Mapa final'!#REF!),"")</f>
        <v>#REF!</v>
      </c>
      <c r="W10" s="244"/>
      <c r="X10" s="247" t="e">
        <f>IF(AND('Mapa final'!#REF!="Muy Alta",'Mapa final'!#REF!="Moderado"),CONCATENATE("R",'Mapa final'!#REF!),"")</f>
        <v>#REF!</v>
      </c>
      <c r="Y10" s="244"/>
      <c r="Z10" s="247" t="e">
        <f>IF(AND('Mapa final'!#REF!="Muy Alta",'Mapa final'!#REF!="Moderado"),CONCATENATE("R",'Mapa final'!#REF!),"")</f>
        <v>#REF!</v>
      </c>
      <c r="AA10" s="232"/>
      <c r="AB10" s="246" t="e">
        <f>IF(AND('Mapa final'!#REF!="Muy Alta",'Mapa final'!#REF!="Mayor"),CONCATENATE("R",'Mapa final'!#REF!),"")</f>
        <v>#REF!</v>
      </c>
      <c r="AC10" s="244"/>
      <c r="AD10" s="247" t="e">
        <f>IF(AND('Mapa final'!#REF!="Muy Alta",'Mapa final'!#REF!="Mayor"),CONCATENATE("R",'Mapa final'!#REF!),"")</f>
        <v>#REF!</v>
      </c>
      <c r="AE10" s="244"/>
      <c r="AF10" s="247" t="e">
        <f>IF(AND('Mapa final'!#REF!="Muy Alta",'Mapa final'!#REF!="Mayor"),CONCATENATE("R",'Mapa final'!#REF!),"")</f>
        <v>#REF!</v>
      </c>
      <c r="AG10" s="232"/>
      <c r="AH10" s="248" t="e">
        <f>IF(AND('Mapa final'!#REF!="Muy Alta",'Mapa final'!#REF!="Catastrófico"),CONCATENATE("R",'Mapa final'!#REF!),"")</f>
        <v>#REF!</v>
      </c>
      <c r="AI10" s="244"/>
      <c r="AJ10" s="249" t="e">
        <f>IF(AND('Mapa final'!#REF!="Muy Alta",'Mapa final'!#REF!="Catastrófico"),CONCATENATE("R",'Mapa final'!#REF!),"")</f>
        <v>#REF!</v>
      </c>
      <c r="AK10" s="244"/>
      <c r="AL10" s="249" t="e">
        <f>IF(AND('Mapa final'!#REF!="Muy Alta",'Mapa final'!#REF!="Catastrófico"),CONCATENATE("R",'Mapa final'!#REF!),"")</f>
        <v>#REF!</v>
      </c>
      <c r="AM10" s="232"/>
      <c r="AN10" s="1"/>
      <c r="AO10" s="272"/>
      <c r="AP10" s="218"/>
      <c r="AQ10" s="218"/>
      <c r="AR10" s="218"/>
      <c r="AS10" s="218"/>
      <c r="AT10" s="273"/>
    </row>
    <row r="11" spans="2:46" ht="15" customHeight="1" x14ac:dyDescent="0.35">
      <c r="B11" s="263"/>
      <c r="C11" s="218"/>
      <c r="D11" s="219"/>
      <c r="E11" s="230"/>
      <c r="F11" s="218"/>
      <c r="G11" s="218"/>
      <c r="H11" s="218"/>
      <c r="I11" s="219"/>
      <c r="J11" s="240"/>
      <c r="K11" s="237"/>
      <c r="L11" s="233"/>
      <c r="M11" s="237"/>
      <c r="N11" s="233"/>
      <c r="O11" s="234"/>
      <c r="P11" s="240"/>
      <c r="Q11" s="237"/>
      <c r="R11" s="233"/>
      <c r="S11" s="237"/>
      <c r="T11" s="233"/>
      <c r="U11" s="234"/>
      <c r="V11" s="240"/>
      <c r="W11" s="237"/>
      <c r="X11" s="233"/>
      <c r="Y11" s="237"/>
      <c r="Z11" s="233"/>
      <c r="AA11" s="234"/>
      <c r="AB11" s="240"/>
      <c r="AC11" s="237"/>
      <c r="AD11" s="233"/>
      <c r="AE11" s="237"/>
      <c r="AF11" s="233"/>
      <c r="AG11" s="234"/>
      <c r="AH11" s="240"/>
      <c r="AI11" s="237"/>
      <c r="AJ11" s="233"/>
      <c r="AK11" s="237"/>
      <c r="AL11" s="233"/>
      <c r="AM11" s="234"/>
      <c r="AN11" s="1"/>
      <c r="AO11" s="272"/>
      <c r="AP11" s="218"/>
      <c r="AQ11" s="218"/>
      <c r="AR11" s="218"/>
      <c r="AS11" s="218"/>
      <c r="AT11" s="273"/>
    </row>
    <row r="12" spans="2:46" ht="15" customHeight="1" x14ac:dyDescent="0.35">
      <c r="B12" s="263"/>
      <c r="C12" s="218"/>
      <c r="D12" s="219"/>
      <c r="E12" s="230"/>
      <c r="F12" s="218"/>
      <c r="G12" s="218"/>
      <c r="H12" s="218"/>
      <c r="I12" s="219"/>
      <c r="J12" s="246" t="e">
        <f>IF(AND('Mapa final'!#REF!="Muy Alta",'Mapa final'!#REF!="Leve"),CONCATENATE("R",'Mapa final'!#REF!),"")</f>
        <v>#REF!</v>
      </c>
      <c r="K12" s="244"/>
      <c r="L12" s="247" t="str">
        <f>IF(AND('Mapa final'!$H$46="Muy Alta",'Mapa final'!$L$46="Leve"),CONCATENATE("R",'Mapa final'!$A$46),"")</f>
        <v/>
      </c>
      <c r="M12" s="244"/>
      <c r="N12" s="247" t="str">
        <f>IF(AND('Mapa final'!$H$52="Muy Alta",'Mapa final'!$L$52="Leve"),CONCATENATE("R",'Mapa final'!$A$52),"")</f>
        <v/>
      </c>
      <c r="O12" s="232"/>
      <c r="P12" s="246" t="e">
        <f>IF(AND('Mapa final'!#REF!="Muy Alta",'Mapa final'!#REF!="Menor"),CONCATENATE("R",'Mapa final'!#REF!),"")</f>
        <v>#REF!</v>
      </c>
      <c r="Q12" s="244"/>
      <c r="R12" s="247" t="str">
        <f>IF(AND('Mapa final'!$H$46="Muy Alta",'Mapa final'!$L$46="Menor"),CONCATENATE("R",'Mapa final'!$A$46),"")</f>
        <v/>
      </c>
      <c r="S12" s="244"/>
      <c r="T12" s="247" t="str">
        <f>IF(AND('Mapa final'!$H$52="Muy Alta",'Mapa final'!$L$52="Menor"),CONCATENATE("R",'Mapa final'!$A$52),"")</f>
        <v/>
      </c>
      <c r="U12" s="232"/>
      <c r="V12" s="246" t="e">
        <f>IF(AND('Mapa final'!#REF!="Muy Alta",'Mapa final'!#REF!="Moderado"),CONCATENATE("R",'Mapa final'!#REF!),"")</f>
        <v>#REF!</v>
      </c>
      <c r="W12" s="244"/>
      <c r="X12" s="247" t="str">
        <f>IF(AND('Mapa final'!$H$46="Muy Alta",'Mapa final'!$L$46="Moderado"),CONCATENATE("R",'Mapa final'!$A$46),"")</f>
        <v/>
      </c>
      <c r="Y12" s="244"/>
      <c r="Z12" s="247" t="str">
        <f>IF(AND('Mapa final'!$H$52="Muy Alta",'Mapa final'!$L$52="Moderado"),CONCATENATE("R",'Mapa final'!$A$52),"")</f>
        <v/>
      </c>
      <c r="AA12" s="232"/>
      <c r="AB12" s="246" t="e">
        <f>IF(AND('Mapa final'!#REF!="Muy Alta",'Mapa final'!#REF!="Mayor"),CONCATENATE("R",'Mapa final'!#REF!),"")</f>
        <v>#REF!</v>
      </c>
      <c r="AC12" s="244"/>
      <c r="AD12" s="247" t="str">
        <f>IF(AND('Mapa final'!$H$46="Muy Alta",'Mapa final'!$L$46="Mayor"),CONCATENATE("R",'Mapa final'!$A$46),"")</f>
        <v/>
      </c>
      <c r="AE12" s="244"/>
      <c r="AF12" s="247" t="str">
        <f>IF(AND('Mapa final'!$H$52="Muy Alta",'Mapa final'!$L$52="Mayor"),CONCATENATE("R",'Mapa final'!$A$52),"")</f>
        <v/>
      </c>
      <c r="AG12" s="232"/>
      <c r="AH12" s="248" t="e">
        <f>IF(AND('Mapa final'!#REF!="Muy Alta",'Mapa final'!#REF!="Catastrófico"),CONCATENATE("R",'Mapa final'!#REF!),"")</f>
        <v>#REF!</v>
      </c>
      <c r="AI12" s="244"/>
      <c r="AJ12" s="249" t="str">
        <f>IF(AND('Mapa final'!$H$46="Muy Alta",'Mapa final'!$L$46="Catastrófico"),CONCATENATE("R",'Mapa final'!$A$46),"")</f>
        <v/>
      </c>
      <c r="AK12" s="244"/>
      <c r="AL12" s="249" t="str">
        <f>IF(AND('Mapa final'!$H$52="Muy Alta",'Mapa final'!$L$52="Catastrófico"),CONCATENATE("R",'Mapa final'!$A$52),"")</f>
        <v/>
      </c>
      <c r="AM12" s="232"/>
      <c r="AN12" s="1"/>
      <c r="AO12" s="272"/>
      <c r="AP12" s="218"/>
      <c r="AQ12" s="218"/>
      <c r="AR12" s="218"/>
      <c r="AS12" s="218"/>
      <c r="AT12" s="273"/>
    </row>
    <row r="13" spans="2:46" ht="15.75" customHeight="1" x14ac:dyDescent="0.35">
      <c r="B13" s="263"/>
      <c r="C13" s="218"/>
      <c r="D13" s="219"/>
      <c r="E13" s="253"/>
      <c r="F13" s="254"/>
      <c r="G13" s="254"/>
      <c r="H13" s="254"/>
      <c r="I13" s="257"/>
      <c r="J13" s="240"/>
      <c r="K13" s="237"/>
      <c r="L13" s="233"/>
      <c r="M13" s="237"/>
      <c r="N13" s="233"/>
      <c r="O13" s="234"/>
      <c r="P13" s="240"/>
      <c r="Q13" s="237"/>
      <c r="R13" s="233"/>
      <c r="S13" s="237"/>
      <c r="T13" s="233"/>
      <c r="U13" s="234"/>
      <c r="V13" s="240"/>
      <c r="W13" s="237"/>
      <c r="X13" s="233"/>
      <c r="Y13" s="237"/>
      <c r="Z13" s="233"/>
      <c r="AA13" s="234"/>
      <c r="AB13" s="240"/>
      <c r="AC13" s="237"/>
      <c r="AD13" s="233"/>
      <c r="AE13" s="237"/>
      <c r="AF13" s="233"/>
      <c r="AG13" s="234"/>
      <c r="AH13" s="253"/>
      <c r="AI13" s="255"/>
      <c r="AJ13" s="256"/>
      <c r="AK13" s="255"/>
      <c r="AL13" s="256"/>
      <c r="AM13" s="257"/>
      <c r="AN13" s="1"/>
      <c r="AO13" s="274"/>
      <c r="AP13" s="275"/>
      <c r="AQ13" s="275"/>
      <c r="AR13" s="275"/>
      <c r="AS13" s="275"/>
      <c r="AT13" s="276"/>
    </row>
    <row r="14" spans="2:46" ht="15" customHeight="1" x14ac:dyDescent="0.35">
      <c r="B14" s="263"/>
      <c r="C14" s="218"/>
      <c r="D14" s="219"/>
      <c r="E14" s="251" t="s">
        <v>97</v>
      </c>
      <c r="F14" s="252"/>
      <c r="G14" s="252"/>
      <c r="H14" s="252"/>
      <c r="I14" s="252"/>
      <c r="J14" s="250" t="str">
        <f>IF(AND('Mapa final'!$H$16="Alta",'Mapa final'!$L$16="Leve"),CONCATENATE("R",'Mapa final'!$A$16),"")</f>
        <v/>
      </c>
      <c r="K14" s="236"/>
      <c r="L14" s="235" t="str">
        <f>IF(AND('Mapa final'!$H$21="Alta",'Mapa final'!$L$21="Leve"),CONCATENATE("R",'Mapa final'!$A$21),"")</f>
        <v/>
      </c>
      <c r="M14" s="236"/>
      <c r="N14" s="235" t="str">
        <f>IF(AND('Mapa final'!$H$26="Alta",'Mapa final'!$L$26="Leve"),CONCATENATE("R",'Mapa final'!$A$26),"")</f>
        <v/>
      </c>
      <c r="O14" s="238"/>
      <c r="P14" s="250" t="str">
        <f>IF(AND('Mapa final'!$H$16="Alta",'Mapa final'!$L$16="Menor"),CONCATENATE("R",'Mapa final'!$A$16),"")</f>
        <v/>
      </c>
      <c r="Q14" s="236"/>
      <c r="R14" s="235" t="str">
        <f>IF(AND('Mapa final'!$H$21="Alta",'Mapa final'!$L$21="Menor"),CONCATENATE("R",'Mapa final'!$A$21),"")</f>
        <v/>
      </c>
      <c r="S14" s="236"/>
      <c r="T14" s="235" t="str">
        <f>IF(AND('Mapa final'!$H$26="Alta",'Mapa final'!$L$26="Menor"),CONCATENATE("R",'Mapa final'!$A$26),"")</f>
        <v/>
      </c>
      <c r="U14" s="238"/>
      <c r="V14" s="239" t="str">
        <f>IF(AND('Mapa final'!$H$16="Alta",'Mapa final'!$L$16="Moderado"),CONCATENATE("R",'Mapa final'!$A$16),"")</f>
        <v>R1</v>
      </c>
      <c r="W14" s="236"/>
      <c r="X14" s="241" t="str">
        <f>IF(AND('Mapa final'!$H$21="Alta",'Mapa final'!$L$21="Moderado"),CONCATENATE("R",'Mapa final'!$A$21),"")</f>
        <v/>
      </c>
      <c r="Y14" s="236"/>
      <c r="Z14" s="241" t="str">
        <f>IF(AND('Mapa final'!$H$26="Alta",'Mapa final'!$L$26="Moderado"),CONCATENATE("R",'Mapa final'!$A$26),"")</f>
        <v/>
      </c>
      <c r="AA14" s="238"/>
      <c r="AB14" s="239" t="str">
        <f>IF(AND('Mapa final'!$H$16="Alta",'Mapa final'!$L$16="Mayor"),CONCATENATE("R",'Mapa final'!$A$16),"")</f>
        <v/>
      </c>
      <c r="AC14" s="236"/>
      <c r="AD14" s="241" t="str">
        <f>IF(AND('Mapa final'!$H$21="Alta",'Mapa final'!$L$21="Mayor"),CONCATENATE("R",'Mapa final'!$A$21),"")</f>
        <v/>
      </c>
      <c r="AE14" s="236"/>
      <c r="AF14" s="241" t="str">
        <f>IF(AND('Mapa final'!$H$26="Alta",'Mapa final'!$L$26="Mayor"),CONCATENATE("R",'Mapa final'!$A$26),"")</f>
        <v/>
      </c>
      <c r="AG14" s="238"/>
      <c r="AH14" s="258" t="str">
        <f>IF(AND('Mapa final'!$H$16="Alta",'Mapa final'!$L$16="Catastrófico"),CONCATENATE("R",'Mapa final'!$A$16),"")</f>
        <v/>
      </c>
      <c r="AI14" s="236"/>
      <c r="AJ14" s="242" t="str">
        <f>IF(AND('Mapa final'!$H$21="Alta",'Mapa final'!$L$21="Catastrófico"),CONCATENATE("R",'Mapa final'!$A$21),"")</f>
        <v/>
      </c>
      <c r="AK14" s="236"/>
      <c r="AL14" s="242" t="str">
        <f>IF(AND('Mapa final'!$H$26="Alta",'Mapa final'!$L$26="Catastrófico"),CONCATENATE("R",'Mapa final'!$A$26),"")</f>
        <v/>
      </c>
      <c r="AM14" s="238"/>
      <c r="AN14" s="1"/>
      <c r="AO14" s="278" t="s">
        <v>98</v>
      </c>
      <c r="AP14" s="270"/>
      <c r="AQ14" s="270"/>
      <c r="AR14" s="270"/>
      <c r="AS14" s="270"/>
      <c r="AT14" s="271"/>
    </row>
    <row r="15" spans="2:46" ht="15" customHeight="1" x14ac:dyDescent="0.35">
      <c r="B15" s="263"/>
      <c r="C15" s="218"/>
      <c r="D15" s="219"/>
      <c r="E15" s="230"/>
      <c r="F15" s="218"/>
      <c r="G15" s="218"/>
      <c r="H15" s="218"/>
      <c r="I15" s="218"/>
      <c r="J15" s="240"/>
      <c r="K15" s="237"/>
      <c r="L15" s="233"/>
      <c r="M15" s="237"/>
      <c r="N15" s="233"/>
      <c r="O15" s="234"/>
      <c r="P15" s="240"/>
      <c r="Q15" s="237"/>
      <c r="R15" s="233"/>
      <c r="S15" s="237"/>
      <c r="T15" s="233"/>
      <c r="U15" s="234"/>
      <c r="V15" s="240"/>
      <c r="W15" s="237"/>
      <c r="X15" s="233"/>
      <c r="Y15" s="237"/>
      <c r="Z15" s="233"/>
      <c r="AA15" s="234"/>
      <c r="AB15" s="240"/>
      <c r="AC15" s="237"/>
      <c r="AD15" s="233"/>
      <c r="AE15" s="237"/>
      <c r="AF15" s="233"/>
      <c r="AG15" s="234"/>
      <c r="AH15" s="240"/>
      <c r="AI15" s="237"/>
      <c r="AJ15" s="233"/>
      <c r="AK15" s="237"/>
      <c r="AL15" s="233"/>
      <c r="AM15" s="234"/>
      <c r="AN15" s="1"/>
      <c r="AO15" s="272"/>
      <c r="AP15" s="218"/>
      <c r="AQ15" s="218"/>
      <c r="AR15" s="218"/>
      <c r="AS15" s="218"/>
      <c r="AT15" s="273"/>
    </row>
    <row r="16" spans="2:46" ht="15" customHeight="1" x14ac:dyDescent="0.35">
      <c r="B16" s="263"/>
      <c r="C16" s="218"/>
      <c r="D16" s="219"/>
      <c r="E16" s="230"/>
      <c r="F16" s="218"/>
      <c r="G16" s="218"/>
      <c r="H16" s="218"/>
      <c r="I16" s="218"/>
      <c r="J16" s="245" t="str">
        <f>IF(AND('Mapa final'!$H$31="Alta",'Mapa final'!$L$31="Leve"),CONCATENATE("R",'Mapa final'!$A$31),"")</f>
        <v/>
      </c>
      <c r="K16" s="244"/>
      <c r="L16" s="231" t="str">
        <f>IF(AND('Mapa final'!$H$36="Alta",'Mapa final'!$L$36="Leve"),CONCATENATE("R",'Mapa final'!$A$36),"")</f>
        <v/>
      </c>
      <c r="M16" s="244"/>
      <c r="N16" s="231" t="str">
        <f>IF(AND('Mapa final'!$H$41="Alta",'Mapa final'!$L$41="Leve"),CONCATENATE("R",'Mapa final'!$A$41),"")</f>
        <v/>
      </c>
      <c r="O16" s="232"/>
      <c r="P16" s="245" t="str">
        <f>IF(AND('Mapa final'!$H$31="Alta",'Mapa final'!$L$31="Menor"),CONCATENATE("R",'Mapa final'!$A$31),"")</f>
        <v/>
      </c>
      <c r="Q16" s="244"/>
      <c r="R16" s="231" t="str">
        <f>IF(AND('Mapa final'!$H$36="Alta",'Mapa final'!$L$36="Menor"),CONCATENATE("R",'Mapa final'!$A$36),"")</f>
        <v/>
      </c>
      <c r="S16" s="244"/>
      <c r="T16" s="231" t="str">
        <f>IF(AND('Mapa final'!$H$41="Alta",'Mapa final'!$L$41="Menor"),CONCATENATE("R",'Mapa final'!$A$41),"")</f>
        <v/>
      </c>
      <c r="U16" s="232"/>
      <c r="V16" s="246" t="str">
        <f>IF(AND('Mapa final'!$H$31="Alta",'Mapa final'!$L$31="Moderado"),CONCATENATE("R",'Mapa final'!$A$31),"")</f>
        <v/>
      </c>
      <c r="W16" s="244"/>
      <c r="X16" s="247" t="str">
        <f>IF(AND('Mapa final'!$H$36="Alta",'Mapa final'!$L$36="Moderado"),CONCATENATE("R",'Mapa final'!$A$36),"")</f>
        <v/>
      </c>
      <c r="Y16" s="244"/>
      <c r="Z16" s="247" t="str">
        <f>IF(AND('Mapa final'!$H$41="Alta",'Mapa final'!$L$41="Moderado"),CONCATENATE("R",'Mapa final'!$A$41),"")</f>
        <v/>
      </c>
      <c r="AA16" s="232"/>
      <c r="AB16" s="246" t="str">
        <f>IF(AND('Mapa final'!$H$31="Alta",'Mapa final'!$L$31="Mayor"),CONCATENATE("R",'Mapa final'!$A$31),"")</f>
        <v/>
      </c>
      <c r="AC16" s="244"/>
      <c r="AD16" s="247" t="str">
        <f>IF(AND('Mapa final'!$H$36="Alta",'Mapa final'!$L$36="Mayor"),CONCATENATE("R",'Mapa final'!$A$36),"")</f>
        <v/>
      </c>
      <c r="AE16" s="244"/>
      <c r="AF16" s="247" t="str">
        <f>IF(AND('Mapa final'!$H$41="Alta",'Mapa final'!$L$41="Mayor"),CONCATENATE("R",'Mapa final'!$A$41),"")</f>
        <v/>
      </c>
      <c r="AG16" s="232"/>
      <c r="AH16" s="248" t="str">
        <f>IF(AND('Mapa final'!$H$31="Alta",'Mapa final'!$L$31="Catastrófico"),CONCATENATE("R",'Mapa final'!$A$31),"")</f>
        <v/>
      </c>
      <c r="AI16" s="244"/>
      <c r="AJ16" s="249" t="str">
        <f>IF(AND('Mapa final'!$H$36="Alta",'Mapa final'!$L$36="Catastrófico"),CONCATENATE("R",'Mapa final'!$A$36),"")</f>
        <v/>
      </c>
      <c r="AK16" s="244"/>
      <c r="AL16" s="249" t="str">
        <f>IF(AND('Mapa final'!$H$41="Alta",'Mapa final'!$L$41="Catastrófico"),CONCATENATE("R",'Mapa final'!$A$41),"")</f>
        <v/>
      </c>
      <c r="AM16" s="232"/>
      <c r="AN16" s="1"/>
      <c r="AO16" s="272"/>
      <c r="AP16" s="218"/>
      <c r="AQ16" s="218"/>
      <c r="AR16" s="218"/>
      <c r="AS16" s="218"/>
      <c r="AT16" s="273"/>
    </row>
    <row r="17" spans="2:46" ht="15" customHeight="1" x14ac:dyDescent="0.35">
      <c r="B17" s="263"/>
      <c r="C17" s="218"/>
      <c r="D17" s="219"/>
      <c r="E17" s="230"/>
      <c r="F17" s="218"/>
      <c r="G17" s="218"/>
      <c r="H17" s="218"/>
      <c r="I17" s="218"/>
      <c r="J17" s="240"/>
      <c r="K17" s="237"/>
      <c r="L17" s="233"/>
      <c r="M17" s="237"/>
      <c r="N17" s="233"/>
      <c r="O17" s="234"/>
      <c r="P17" s="240"/>
      <c r="Q17" s="237"/>
      <c r="R17" s="233"/>
      <c r="S17" s="237"/>
      <c r="T17" s="233"/>
      <c r="U17" s="234"/>
      <c r="V17" s="240"/>
      <c r="W17" s="237"/>
      <c r="X17" s="233"/>
      <c r="Y17" s="237"/>
      <c r="Z17" s="233"/>
      <c r="AA17" s="234"/>
      <c r="AB17" s="240"/>
      <c r="AC17" s="237"/>
      <c r="AD17" s="233"/>
      <c r="AE17" s="237"/>
      <c r="AF17" s="233"/>
      <c r="AG17" s="234"/>
      <c r="AH17" s="240"/>
      <c r="AI17" s="237"/>
      <c r="AJ17" s="233"/>
      <c r="AK17" s="237"/>
      <c r="AL17" s="233"/>
      <c r="AM17" s="234"/>
      <c r="AN17" s="1"/>
      <c r="AO17" s="272"/>
      <c r="AP17" s="218"/>
      <c r="AQ17" s="218"/>
      <c r="AR17" s="218"/>
      <c r="AS17" s="218"/>
      <c r="AT17" s="273"/>
    </row>
    <row r="18" spans="2:46" ht="15" customHeight="1" x14ac:dyDescent="0.35">
      <c r="B18" s="263"/>
      <c r="C18" s="218"/>
      <c r="D18" s="219"/>
      <c r="E18" s="230"/>
      <c r="F18" s="218"/>
      <c r="G18" s="218"/>
      <c r="H18" s="218"/>
      <c r="I18" s="218"/>
      <c r="J18" s="245" t="e">
        <f>IF(AND('Mapa final'!#REF!="Alta",'Mapa final'!#REF!="Leve"),CONCATENATE("R",'Mapa final'!#REF!),"")</f>
        <v>#REF!</v>
      </c>
      <c r="K18" s="244"/>
      <c r="L18" s="231" t="e">
        <f>IF(AND('Mapa final'!#REF!="Alta",'Mapa final'!#REF!="Leve"),CONCATENATE("R",'Mapa final'!#REF!),"")</f>
        <v>#REF!</v>
      </c>
      <c r="M18" s="244"/>
      <c r="N18" s="231" t="e">
        <f>IF(AND('Mapa final'!#REF!="Alta",'Mapa final'!#REF!="Leve"),CONCATENATE("R",'Mapa final'!#REF!),"")</f>
        <v>#REF!</v>
      </c>
      <c r="O18" s="232"/>
      <c r="P18" s="245" t="e">
        <f>IF(AND('Mapa final'!#REF!="Alta",'Mapa final'!#REF!="Menor"),CONCATENATE("R",'Mapa final'!#REF!),"")</f>
        <v>#REF!</v>
      </c>
      <c r="Q18" s="244"/>
      <c r="R18" s="231" t="e">
        <f>IF(AND('Mapa final'!#REF!="Alta",'Mapa final'!#REF!="Menor"),CONCATENATE("R",'Mapa final'!#REF!),"")</f>
        <v>#REF!</v>
      </c>
      <c r="S18" s="244"/>
      <c r="T18" s="231" t="e">
        <f>IF(AND('Mapa final'!#REF!="Alta",'Mapa final'!#REF!="Menor"),CONCATENATE("R",'Mapa final'!#REF!),"")</f>
        <v>#REF!</v>
      </c>
      <c r="U18" s="232"/>
      <c r="V18" s="246" t="e">
        <f>IF(AND('Mapa final'!#REF!="Alta",'Mapa final'!#REF!="Moderado"),CONCATENATE("R",'Mapa final'!#REF!),"")</f>
        <v>#REF!</v>
      </c>
      <c r="W18" s="244"/>
      <c r="X18" s="247" t="e">
        <f>IF(AND('Mapa final'!#REF!="Alta",'Mapa final'!#REF!="Moderado"),CONCATENATE("R",'Mapa final'!#REF!),"")</f>
        <v>#REF!</v>
      </c>
      <c r="Y18" s="244"/>
      <c r="Z18" s="247" t="e">
        <f>IF(AND('Mapa final'!#REF!="Alta",'Mapa final'!#REF!="Moderado"),CONCATENATE("R",'Mapa final'!#REF!),"")</f>
        <v>#REF!</v>
      </c>
      <c r="AA18" s="232"/>
      <c r="AB18" s="246" t="e">
        <f>IF(AND('Mapa final'!#REF!="Alta",'Mapa final'!#REF!="Mayor"),CONCATENATE("R",'Mapa final'!#REF!),"")</f>
        <v>#REF!</v>
      </c>
      <c r="AC18" s="244"/>
      <c r="AD18" s="247" t="e">
        <f>IF(AND('Mapa final'!#REF!="Alta",'Mapa final'!#REF!="Mayor"),CONCATENATE("R",'Mapa final'!#REF!),"")</f>
        <v>#REF!</v>
      </c>
      <c r="AE18" s="244"/>
      <c r="AF18" s="247" t="e">
        <f>IF(AND('Mapa final'!#REF!="Alta",'Mapa final'!#REF!="Mayor"),CONCATENATE("R",'Mapa final'!#REF!),"")</f>
        <v>#REF!</v>
      </c>
      <c r="AG18" s="232"/>
      <c r="AH18" s="248" t="e">
        <f>IF(AND('Mapa final'!#REF!="Alta",'Mapa final'!#REF!="Catastrófico"),CONCATENATE("R",'Mapa final'!#REF!),"")</f>
        <v>#REF!</v>
      </c>
      <c r="AI18" s="244"/>
      <c r="AJ18" s="249" t="e">
        <f>IF(AND('Mapa final'!#REF!="Alta",'Mapa final'!#REF!="Catastrófico"),CONCATENATE("R",'Mapa final'!#REF!),"")</f>
        <v>#REF!</v>
      </c>
      <c r="AK18" s="244"/>
      <c r="AL18" s="249" t="e">
        <f>IF(AND('Mapa final'!#REF!="Alta",'Mapa final'!#REF!="Catastrófico"),CONCATENATE("R",'Mapa final'!#REF!),"")</f>
        <v>#REF!</v>
      </c>
      <c r="AM18" s="232"/>
      <c r="AN18" s="1"/>
      <c r="AO18" s="272"/>
      <c r="AP18" s="218"/>
      <c r="AQ18" s="218"/>
      <c r="AR18" s="218"/>
      <c r="AS18" s="218"/>
      <c r="AT18" s="273"/>
    </row>
    <row r="19" spans="2:46" ht="15" customHeight="1" x14ac:dyDescent="0.35">
      <c r="B19" s="263"/>
      <c r="C19" s="218"/>
      <c r="D19" s="219"/>
      <c r="E19" s="230"/>
      <c r="F19" s="218"/>
      <c r="G19" s="218"/>
      <c r="H19" s="218"/>
      <c r="I19" s="218"/>
      <c r="J19" s="240"/>
      <c r="K19" s="237"/>
      <c r="L19" s="233"/>
      <c r="M19" s="237"/>
      <c r="N19" s="233"/>
      <c r="O19" s="234"/>
      <c r="P19" s="240"/>
      <c r="Q19" s="237"/>
      <c r="R19" s="233"/>
      <c r="S19" s="237"/>
      <c r="T19" s="233"/>
      <c r="U19" s="234"/>
      <c r="V19" s="240"/>
      <c r="W19" s="237"/>
      <c r="X19" s="233"/>
      <c r="Y19" s="237"/>
      <c r="Z19" s="233"/>
      <c r="AA19" s="234"/>
      <c r="AB19" s="240"/>
      <c r="AC19" s="237"/>
      <c r="AD19" s="233"/>
      <c r="AE19" s="237"/>
      <c r="AF19" s="233"/>
      <c r="AG19" s="234"/>
      <c r="AH19" s="240"/>
      <c r="AI19" s="237"/>
      <c r="AJ19" s="233"/>
      <c r="AK19" s="237"/>
      <c r="AL19" s="233"/>
      <c r="AM19" s="234"/>
      <c r="AN19" s="1"/>
      <c r="AO19" s="272"/>
      <c r="AP19" s="218"/>
      <c r="AQ19" s="218"/>
      <c r="AR19" s="218"/>
      <c r="AS19" s="218"/>
      <c r="AT19" s="273"/>
    </row>
    <row r="20" spans="2:46" ht="15" customHeight="1" x14ac:dyDescent="0.35">
      <c r="B20" s="263"/>
      <c r="C20" s="218"/>
      <c r="D20" s="219"/>
      <c r="E20" s="230"/>
      <c r="F20" s="218"/>
      <c r="G20" s="218"/>
      <c r="H20" s="218"/>
      <c r="I20" s="218"/>
      <c r="J20" s="245" t="e">
        <f>IF(AND('Mapa final'!#REF!="Alta",'Mapa final'!#REF!="Leve"),CONCATENATE("R",'Mapa final'!#REF!),"")</f>
        <v>#REF!</v>
      </c>
      <c r="K20" s="244"/>
      <c r="L20" s="231" t="str">
        <f>IF(AND('Mapa final'!$H$46="Alta",'Mapa final'!$L$46="Leve"),CONCATENATE("R",'Mapa final'!$A$46),"")</f>
        <v/>
      </c>
      <c r="M20" s="244"/>
      <c r="N20" s="231" t="str">
        <f>IF(AND('Mapa final'!$H$52="Alta",'Mapa final'!$L$52="Leve"),CONCATENATE("R",'Mapa final'!$A$52),"")</f>
        <v/>
      </c>
      <c r="O20" s="232"/>
      <c r="P20" s="245" t="e">
        <f>IF(AND('Mapa final'!#REF!="Alta",'Mapa final'!#REF!="Menor"),CONCATENATE("R",'Mapa final'!#REF!),"")</f>
        <v>#REF!</v>
      </c>
      <c r="Q20" s="244"/>
      <c r="R20" s="231" t="str">
        <f>IF(AND('Mapa final'!$H$46="Alta",'Mapa final'!$L$46="Menor"),CONCATENATE("R",'Mapa final'!$A$46),"")</f>
        <v/>
      </c>
      <c r="S20" s="244"/>
      <c r="T20" s="231" t="str">
        <f>IF(AND('Mapa final'!$H$52="Alta",'Mapa final'!$L$52="Menor"),CONCATENATE("R",'Mapa final'!$A$52),"")</f>
        <v/>
      </c>
      <c r="U20" s="232"/>
      <c r="V20" s="246" t="e">
        <f>IF(AND('Mapa final'!#REF!="Alta",'Mapa final'!#REF!="Moderado"),CONCATENATE("R",'Mapa final'!#REF!),"")</f>
        <v>#REF!</v>
      </c>
      <c r="W20" s="244"/>
      <c r="X20" s="247" t="str">
        <f>IF(AND('Mapa final'!$H$46="Alta",'Mapa final'!$L$46="Moderado"),CONCATENATE("R",'Mapa final'!$A$46),"")</f>
        <v/>
      </c>
      <c r="Y20" s="244"/>
      <c r="Z20" s="247" t="str">
        <f>IF(AND('Mapa final'!$H$52="Alta",'Mapa final'!$L$52="Moderado"),CONCATENATE("R",'Mapa final'!$A$52),"")</f>
        <v/>
      </c>
      <c r="AA20" s="232"/>
      <c r="AB20" s="246" t="e">
        <f>IF(AND('Mapa final'!#REF!="Alta",'Mapa final'!#REF!="Mayor"),CONCATENATE("R",'Mapa final'!#REF!),"")</f>
        <v>#REF!</v>
      </c>
      <c r="AC20" s="244"/>
      <c r="AD20" s="247" t="str">
        <f>IF(AND('Mapa final'!$H$46="Alta",'Mapa final'!$L$46="Mayor"),CONCATENATE("R",'Mapa final'!$A$46),"")</f>
        <v/>
      </c>
      <c r="AE20" s="244"/>
      <c r="AF20" s="247" t="str">
        <f>IF(AND('Mapa final'!$H$52="Alta",'Mapa final'!$L$52="Mayor"),CONCATENATE("R",'Mapa final'!$A$52),"")</f>
        <v/>
      </c>
      <c r="AG20" s="232"/>
      <c r="AH20" s="248" t="e">
        <f>IF(AND('Mapa final'!#REF!="Alta",'Mapa final'!#REF!="Catastrófico"),CONCATENATE("R",'Mapa final'!#REF!),"")</f>
        <v>#REF!</v>
      </c>
      <c r="AI20" s="244"/>
      <c r="AJ20" s="249" t="str">
        <f>IF(AND('Mapa final'!$H$46="Alta",'Mapa final'!$L$46="Catastrófico"),CONCATENATE("R",'Mapa final'!$A$46),"")</f>
        <v/>
      </c>
      <c r="AK20" s="244"/>
      <c r="AL20" s="249" t="str">
        <f>IF(AND('Mapa final'!$H$52="Alta",'Mapa final'!$L$52="Catastrófico"),CONCATENATE("R",'Mapa final'!$A$52),"")</f>
        <v/>
      </c>
      <c r="AM20" s="232"/>
      <c r="AN20" s="1"/>
      <c r="AO20" s="272"/>
      <c r="AP20" s="218"/>
      <c r="AQ20" s="218"/>
      <c r="AR20" s="218"/>
      <c r="AS20" s="218"/>
      <c r="AT20" s="273"/>
    </row>
    <row r="21" spans="2:46" ht="15.75" customHeight="1" x14ac:dyDescent="0.35">
      <c r="B21" s="263"/>
      <c r="C21" s="218"/>
      <c r="D21" s="219"/>
      <c r="E21" s="253"/>
      <c r="F21" s="254"/>
      <c r="G21" s="254"/>
      <c r="H21" s="254"/>
      <c r="I21" s="254"/>
      <c r="J21" s="253"/>
      <c r="K21" s="255"/>
      <c r="L21" s="256"/>
      <c r="M21" s="255"/>
      <c r="N21" s="256"/>
      <c r="O21" s="257"/>
      <c r="P21" s="253"/>
      <c r="Q21" s="255"/>
      <c r="R21" s="256"/>
      <c r="S21" s="255"/>
      <c r="T21" s="256"/>
      <c r="U21" s="257"/>
      <c r="V21" s="253"/>
      <c r="W21" s="255"/>
      <c r="X21" s="256"/>
      <c r="Y21" s="255"/>
      <c r="Z21" s="256"/>
      <c r="AA21" s="257"/>
      <c r="AB21" s="253"/>
      <c r="AC21" s="255"/>
      <c r="AD21" s="256"/>
      <c r="AE21" s="255"/>
      <c r="AF21" s="256"/>
      <c r="AG21" s="257"/>
      <c r="AH21" s="253"/>
      <c r="AI21" s="255"/>
      <c r="AJ21" s="256"/>
      <c r="AK21" s="255"/>
      <c r="AL21" s="256"/>
      <c r="AM21" s="257"/>
      <c r="AN21" s="1"/>
      <c r="AO21" s="274"/>
      <c r="AP21" s="275"/>
      <c r="AQ21" s="275"/>
      <c r="AR21" s="275"/>
      <c r="AS21" s="275"/>
      <c r="AT21" s="276"/>
    </row>
    <row r="22" spans="2:46" ht="15.75" customHeight="1" x14ac:dyDescent="0.35">
      <c r="B22" s="263"/>
      <c r="C22" s="218"/>
      <c r="D22" s="219"/>
      <c r="E22" s="251" t="s">
        <v>99</v>
      </c>
      <c r="F22" s="252"/>
      <c r="G22" s="252"/>
      <c r="H22" s="252"/>
      <c r="I22" s="238"/>
      <c r="J22" s="250" t="str">
        <f>IF(AND('Mapa final'!$H$16="Media",'Mapa final'!$L$16="Leve"),CONCATENATE("R",'Mapa final'!$A$16),"")</f>
        <v/>
      </c>
      <c r="K22" s="236"/>
      <c r="L22" s="235" t="str">
        <f>IF(AND('Mapa final'!$H$21="Media",'Mapa final'!$L$21="Leve"),CONCATENATE("R",'Mapa final'!$A$21),"")</f>
        <v/>
      </c>
      <c r="M22" s="236"/>
      <c r="N22" s="235" t="str">
        <f>IF(AND('Mapa final'!$H$26="Media",'Mapa final'!$L$26="Leve"),CONCATENATE("R",'Mapa final'!$A$26),"")</f>
        <v/>
      </c>
      <c r="O22" s="238"/>
      <c r="P22" s="250" t="str">
        <f>IF(AND('Mapa final'!$H$16="Media",'Mapa final'!$L$16="Menor"),CONCATENATE("R",'Mapa final'!$A$16),"")</f>
        <v/>
      </c>
      <c r="Q22" s="236"/>
      <c r="R22" s="235" t="str">
        <f>IF(AND('Mapa final'!$H$21="Media",'Mapa final'!$L$21="Menor"),CONCATENATE("R",'Mapa final'!$A$21),"")</f>
        <v/>
      </c>
      <c r="S22" s="236"/>
      <c r="T22" s="235" t="str">
        <f>IF(AND('Mapa final'!$H$26="Media",'Mapa final'!$L$26="Menor"),CONCATENATE("R",'Mapa final'!$A$26),"")</f>
        <v/>
      </c>
      <c r="U22" s="238"/>
      <c r="V22" s="250" t="str">
        <f>IF(AND('Mapa final'!$H$16="Media",'Mapa final'!$L$16="Moderado"),CONCATENATE("R",'Mapa final'!$A$16),"")</f>
        <v/>
      </c>
      <c r="W22" s="236"/>
      <c r="X22" s="235" t="str">
        <f>IF(AND('Mapa final'!$H$21="Media",'Mapa final'!$L$21="Moderado"),CONCATENATE("R",'Mapa final'!$A$21),"")</f>
        <v/>
      </c>
      <c r="Y22" s="236"/>
      <c r="Z22" s="235" t="str">
        <f>IF(AND('Mapa final'!$H$26="Media",'Mapa final'!$L$26="Moderado"),CONCATENATE("R",'Mapa final'!$A$26),"")</f>
        <v/>
      </c>
      <c r="AA22" s="238"/>
      <c r="AB22" s="239" t="str">
        <f>IF(AND('Mapa final'!$H$16="Media",'Mapa final'!$L$16="Mayor"),CONCATENATE("R",'Mapa final'!$A$16),"")</f>
        <v/>
      </c>
      <c r="AC22" s="236"/>
      <c r="AD22" s="241" t="str">
        <f>IF(AND('Mapa final'!$H$21="Media",'Mapa final'!$L$21="Mayor"),CONCATENATE("R",'Mapa final'!$A$21),"")</f>
        <v/>
      </c>
      <c r="AE22" s="236"/>
      <c r="AF22" s="241" t="str">
        <f>IF(AND('Mapa final'!$H$26="Media",'Mapa final'!$L$26="Mayor"),CONCATENATE("R",'Mapa final'!$A$26),"")</f>
        <v/>
      </c>
      <c r="AG22" s="238"/>
      <c r="AH22" s="258" t="str">
        <f>IF(AND('Mapa final'!$H$16="Media",'Mapa final'!$L$16="Catastrófico"),CONCATENATE("R",'Mapa final'!$A$16),"")</f>
        <v/>
      </c>
      <c r="AI22" s="236"/>
      <c r="AJ22" s="242" t="str">
        <f>IF(AND('Mapa final'!$H$21="Media",'Mapa final'!$L$21="Catastrófico"),CONCATENATE("R",'Mapa final'!$A$21),"")</f>
        <v/>
      </c>
      <c r="AK22" s="236"/>
      <c r="AL22" s="242" t="str">
        <f>IF(AND('Mapa final'!$H$26="Media",'Mapa final'!$L$26="Catastrófico"),CONCATENATE("R",'Mapa final'!$A$26),"")</f>
        <v/>
      </c>
      <c r="AM22" s="238"/>
      <c r="AN22" s="1"/>
      <c r="AO22" s="279" t="s">
        <v>100</v>
      </c>
      <c r="AP22" s="270"/>
      <c r="AQ22" s="270"/>
      <c r="AR22" s="270"/>
      <c r="AS22" s="270"/>
      <c r="AT22" s="271"/>
    </row>
    <row r="23" spans="2:46" ht="15.75" customHeight="1" x14ac:dyDescent="0.35">
      <c r="B23" s="263"/>
      <c r="C23" s="218"/>
      <c r="D23" s="219"/>
      <c r="E23" s="230"/>
      <c r="F23" s="218"/>
      <c r="G23" s="218"/>
      <c r="H23" s="218"/>
      <c r="I23" s="219"/>
      <c r="J23" s="240"/>
      <c r="K23" s="237"/>
      <c r="L23" s="233"/>
      <c r="M23" s="237"/>
      <c r="N23" s="233"/>
      <c r="O23" s="234"/>
      <c r="P23" s="240"/>
      <c r="Q23" s="237"/>
      <c r="R23" s="233"/>
      <c r="S23" s="237"/>
      <c r="T23" s="233"/>
      <c r="U23" s="234"/>
      <c r="V23" s="240"/>
      <c r="W23" s="237"/>
      <c r="X23" s="233"/>
      <c r="Y23" s="237"/>
      <c r="Z23" s="233"/>
      <c r="AA23" s="234"/>
      <c r="AB23" s="240"/>
      <c r="AC23" s="237"/>
      <c r="AD23" s="233"/>
      <c r="AE23" s="237"/>
      <c r="AF23" s="233"/>
      <c r="AG23" s="234"/>
      <c r="AH23" s="240"/>
      <c r="AI23" s="237"/>
      <c r="AJ23" s="233"/>
      <c r="AK23" s="237"/>
      <c r="AL23" s="233"/>
      <c r="AM23" s="234"/>
      <c r="AN23" s="1"/>
      <c r="AO23" s="272"/>
      <c r="AP23" s="218"/>
      <c r="AQ23" s="218"/>
      <c r="AR23" s="218"/>
      <c r="AS23" s="218"/>
      <c r="AT23" s="273"/>
    </row>
    <row r="24" spans="2:46" ht="15.75" customHeight="1" x14ac:dyDescent="0.35">
      <c r="B24" s="263"/>
      <c r="C24" s="218"/>
      <c r="D24" s="219"/>
      <c r="E24" s="230"/>
      <c r="F24" s="218"/>
      <c r="G24" s="218"/>
      <c r="H24" s="218"/>
      <c r="I24" s="219"/>
      <c r="J24" s="245" t="str">
        <f>IF(AND('Mapa final'!$H$31="Media",'Mapa final'!$L$31="Leve"),CONCATENATE("R",'Mapa final'!$A$31),"")</f>
        <v/>
      </c>
      <c r="K24" s="244"/>
      <c r="L24" s="231" t="str">
        <f>IF(AND('Mapa final'!$H$36="Media",'Mapa final'!$L$36="Leve"),CONCATENATE("R",'Mapa final'!$A$36),"")</f>
        <v/>
      </c>
      <c r="M24" s="244"/>
      <c r="N24" s="231" t="str">
        <f>IF(AND('Mapa final'!$H$41="Media",'Mapa final'!$L$41="Leve"),CONCATENATE("R",'Mapa final'!$A$41),"")</f>
        <v/>
      </c>
      <c r="O24" s="232"/>
      <c r="P24" s="245" t="str">
        <f>IF(AND('Mapa final'!$H$31="Media",'Mapa final'!$L$31="Menor"),CONCATENATE("R",'Mapa final'!$A$31),"")</f>
        <v/>
      </c>
      <c r="Q24" s="244"/>
      <c r="R24" s="231" t="str">
        <f>IF(AND('Mapa final'!$H$36="Media",'Mapa final'!$L$36="Menor"),CONCATENATE("R",'Mapa final'!$A$36),"")</f>
        <v/>
      </c>
      <c r="S24" s="244"/>
      <c r="T24" s="231" t="str">
        <f>IF(AND('Mapa final'!$H$41="Media",'Mapa final'!$L$41="Menor"),CONCATENATE("R",'Mapa final'!$A$41),"")</f>
        <v/>
      </c>
      <c r="U24" s="232"/>
      <c r="V24" s="245" t="str">
        <f>IF(AND('Mapa final'!$H$31="Media",'Mapa final'!$L$31="Moderado"),CONCATENATE("R",'Mapa final'!$A$31),"")</f>
        <v/>
      </c>
      <c r="W24" s="244"/>
      <c r="X24" s="231" t="str">
        <f>IF(AND('Mapa final'!$H$36="Media",'Mapa final'!$L$36="Moderado"),CONCATENATE("R",'Mapa final'!$A$36),"")</f>
        <v/>
      </c>
      <c r="Y24" s="244"/>
      <c r="Z24" s="231" t="str">
        <f>IF(AND('Mapa final'!$H$41="Media",'Mapa final'!$L$41="Moderado"),CONCATENATE("R",'Mapa final'!$A$41),"")</f>
        <v/>
      </c>
      <c r="AA24" s="232"/>
      <c r="AB24" s="246" t="str">
        <f>IF(AND('Mapa final'!$H$31="Media",'Mapa final'!$L$31="Mayor"),CONCATENATE("R",'Mapa final'!$A$31),"")</f>
        <v/>
      </c>
      <c r="AC24" s="244"/>
      <c r="AD24" s="247" t="str">
        <f>IF(AND('Mapa final'!$H$36="Media",'Mapa final'!$L$36="Mayor"),CONCATENATE("R",'Mapa final'!$A$36),"")</f>
        <v/>
      </c>
      <c r="AE24" s="244"/>
      <c r="AF24" s="247" t="str">
        <f>IF(AND('Mapa final'!$H$41="Media",'Mapa final'!$L$41="Mayor"),CONCATENATE("R",'Mapa final'!$A$41),"")</f>
        <v/>
      </c>
      <c r="AG24" s="232"/>
      <c r="AH24" s="248" t="str">
        <f>IF(AND('Mapa final'!$H$31="Media",'Mapa final'!$L$31="Catastrófico"),CONCATENATE("R",'Mapa final'!$A$31),"")</f>
        <v/>
      </c>
      <c r="AI24" s="244"/>
      <c r="AJ24" s="249" t="str">
        <f>IF(AND('Mapa final'!$H$36="Media",'Mapa final'!$L$36="Catastrófico"),CONCATENATE("R",'Mapa final'!$A$36),"")</f>
        <v/>
      </c>
      <c r="AK24" s="244"/>
      <c r="AL24" s="249" t="str">
        <f>IF(AND('Mapa final'!$H$41="Media",'Mapa final'!$L$41="Catastrófico"),CONCATENATE("R",'Mapa final'!$A$41),"")</f>
        <v/>
      </c>
      <c r="AM24" s="232"/>
      <c r="AN24" s="1"/>
      <c r="AO24" s="272"/>
      <c r="AP24" s="218"/>
      <c r="AQ24" s="218"/>
      <c r="AR24" s="218"/>
      <c r="AS24" s="218"/>
      <c r="AT24" s="273"/>
    </row>
    <row r="25" spans="2:46" ht="15.75" customHeight="1" x14ac:dyDescent="0.35">
      <c r="B25" s="263"/>
      <c r="C25" s="218"/>
      <c r="D25" s="219"/>
      <c r="E25" s="230"/>
      <c r="F25" s="218"/>
      <c r="G25" s="218"/>
      <c r="H25" s="218"/>
      <c r="I25" s="219"/>
      <c r="J25" s="240"/>
      <c r="K25" s="237"/>
      <c r="L25" s="233"/>
      <c r="M25" s="237"/>
      <c r="N25" s="233"/>
      <c r="O25" s="234"/>
      <c r="P25" s="240"/>
      <c r="Q25" s="237"/>
      <c r="R25" s="233"/>
      <c r="S25" s="237"/>
      <c r="T25" s="233"/>
      <c r="U25" s="234"/>
      <c r="V25" s="240"/>
      <c r="W25" s="237"/>
      <c r="X25" s="233"/>
      <c r="Y25" s="237"/>
      <c r="Z25" s="233"/>
      <c r="AA25" s="234"/>
      <c r="AB25" s="240"/>
      <c r="AC25" s="237"/>
      <c r="AD25" s="233"/>
      <c r="AE25" s="237"/>
      <c r="AF25" s="233"/>
      <c r="AG25" s="234"/>
      <c r="AH25" s="240"/>
      <c r="AI25" s="237"/>
      <c r="AJ25" s="233"/>
      <c r="AK25" s="237"/>
      <c r="AL25" s="233"/>
      <c r="AM25" s="234"/>
      <c r="AN25" s="1"/>
      <c r="AO25" s="272"/>
      <c r="AP25" s="218"/>
      <c r="AQ25" s="218"/>
      <c r="AR25" s="218"/>
      <c r="AS25" s="218"/>
      <c r="AT25" s="273"/>
    </row>
    <row r="26" spans="2:46" ht="15.75" customHeight="1" x14ac:dyDescent="0.35">
      <c r="B26" s="263"/>
      <c r="C26" s="218"/>
      <c r="D26" s="219"/>
      <c r="E26" s="230"/>
      <c r="F26" s="218"/>
      <c r="G26" s="218"/>
      <c r="H26" s="218"/>
      <c r="I26" s="219"/>
      <c r="J26" s="245" t="e">
        <f>IF(AND('Mapa final'!#REF!="Media",'Mapa final'!#REF!="Leve"),CONCATENATE("R",'Mapa final'!#REF!),"")</f>
        <v>#REF!</v>
      </c>
      <c r="K26" s="244"/>
      <c r="L26" s="231" t="e">
        <f>IF(AND('Mapa final'!#REF!="Media",'Mapa final'!#REF!="Leve"),CONCATENATE("R",'Mapa final'!#REF!),"")</f>
        <v>#REF!</v>
      </c>
      <c r="M26" s="244"/>
      <c r="N26" s="231" t="e">
        <f>IF(AND('Mapa final'!#REF!="Media",'Mapa final'!#REF!="Leve"),CONCATENATE("R",'Mapa final'!#REF!),"")</f>
        <v>#REF!</v>
      </c>
      <c r="O26" s="232"/>
      <c r="P26" s="245" t="e">
        <f>IF(AND('Mapa final'!#REF!="Media",'Mapa final'!#REF!="Menor"),CONCATENATE("R",'Mapa final'!#REF!),"")</f>
        <v>#REF!</v>
      </c>
      <c r="Q26" s="244"/>
      <c r="R26" s="231" t="e">
        <f>IF(AND('Mapa final'!#REF!="Media",'Mapa final'!#REF!="Menor"),CONCATENATE("R",'Mapa final'!#REF!),"")</f>
        <v>#REF!</v>
      </c>
      <c r="S26" s="244"/>
      <c r="T26" s="231" t="e">
        <f>IF(AND('Mapa final'!#REF!="Media",'Mapa final'!#REF!="Menor"),CONCATENATE("R",'Mapa final'!#REF!),"")</f>
        <v>#REF!</v>
      </c>
      <c r="U26" s="232"/>
      <c r="V26" s="245" t="e">
        <f>IF(AND('Mapa final'!#REF!="Media",'Mapa final'!#REF!="Moderado"),CONCATENATE("R",'Mapa final'!#REF!),"")</f>
        <v>#REF!</v>
      </c>
      <c r="W26" s="244"/>
      <c r="X26" s="231" t="e">
        <f>IF(AND('Mapa final'!#REF!="Media",'Mapa final'!#REF!="Moderado"),CONCATENATE("R",'Mapa final'!#REF!),"")</f>
        <v>#REF!</v>
      </c>
      <c r="Y26" s="244"/>
      <c r="Z26" s="231" t="e">
        <f>IF(AND('Mapa final'!#REF!="Media",'Mapa final'!#REF!="Moderado"),CONCATENATE("R",'Mapa final'!#REF!),"")</f>
        <v>#REF!</v>
      </c>
      <c r="AA26" s="232"/>
      <c r="AB26" s="246" t="e">
        <f>IF(AND('Mapa final'!#REF!="Media",'Mapa final'!#REF!="Mayor"),CONCATENATE("R",'Mapa final'!#REF!),"")</f>
        <v>#REF!</v>
      </c>
      <c r="AC26" s="244"/>
      <c r="AD26" s="247" t="e">
        <f>IF(AND('Mapa final'!#REF!="Media",'Mapa final'!#REF!="Mayor"),CONCATENATE("R",'Mapa final'!#REF!),"")</f>
        <v>#REF!</v>
      </c>
      <c r="AE26" s="244"/>
      <c r="AF26" s="247" t="e">
        <f>IF(AND('Mapa final'!#REF!="Media",'Mapa final'!#REF!="Mayor"),CONCATENATE("R",'Mapa final'!#REF!),"")</f>
        <v>#REF!</v>
      </c>
      <c r="AG26" s="232"/>
      <c r="AH26" s="248" t="e">
        <f>IF(AND('Mapa final'!#REF!="Media",'Mapa final'!#REF!="Catastrófico"),CONCATENATE("R",'Mapa final'!#REF!),"")</f>
        <v>#REF!</v>
      </c>
      <c r="AI26" s="244"/>
      <c r="AJ26" s="249" t="e">
        <f>IF(AND('Mapa final'!#REF!="Media",'Mapa final'!#REF!="Catastrófico"),CONCATENATE("R",'Mapa final'!#REF!),"")</f>
        <v>#REF!</v>
      </c>
      <c r="AK26" s="244"/>
      <c r="AL26" s="249" t="e">
        <f>IF(AND('Mapa final'!#REF!="Media",'Mapa final'!#REF!="Catastrófico"),CONCATENATE("R",'Mapa final'!#REF!),"")</f>
        <v>#REF!</v>
      </c>
      <c r="AM26" s="232"/>
      <c r="AN26" s="1"/>
      <c r="AO26" s="272"/>
      <c r="AP26" s="218"/>
      <c r="AQ26" s="218"/>
      <c r="AR26" s="218"/>
      <c r="AS26" s="218"/>
      <c r="AT26" s="273"/>
    </row>
    <row r="27" spans="2:46" ht="15.75" customHeight="1" x14ac:dyDescent="0.35">
      <c r="B27" s="263"/>
      <c r="C27" s="218"/>
      <c r="D27" s="219"/>
      <c r="E27" s="230"/>
      <c r="F27" s="218"/>
      <c r="G27" s="218"/>
      <c r="H27" s="218"/>
      <c r="I27" s="219"/>
      <c r="J27" s="240"/>
      <c r="K27" s="237"/>
      <c r="L27" s="233"/>
      <c r="M27" s="237"/>
      <c r="N27" s="233"/>
      <c r="O27" s="234"/>
      <c r="P27" s="240"/>
      <c r="Q27" s="237"/>
      <c r="R27" s="233"/>
      <c r="S27" s="237"/>
      <c r="T27" s="233"/>
      <c r="U27" s="234"/>
      <c r="V27" s="240"/>
      <c r="W27" s="237"/>
      <c r="X27" s="233"/>
      <c r="Y27" s="237"/>
      <c r="Z27" s="233"/>
      <c r="AA27" s="234"/>
      <c r="AB27" s="240"/>
      <c r="AC27" s="237"/>
      <c r="AD27" s="233"/>
      <c r="AE27" s="237"/>
      <c r="AF27" s="233"/>
      <c r="AG27" s="234"/>
      <c r="AH27" s="240"/>
      <c r="AI27" s="237"/>
      <c r="AJ27" s="233"/>
      <c r="AK27" s="237"/>
      <c r="AL27" s="233"/>
      <c r="AM27" s="234"/>
      <c r="AN27" s="1"/>
      <c r="AO27" s="272"/>
      <c r="AP27" s="218"/>
      <c r="AQ27" s="218"/>
      <c r="AR27" s="218"/>
      <c r="AS27" s="218"/>
      <c r="AT27" s="273"/>
    </row>
    <row r="28" spans="2:46" ht="15.75" customHeight="1" x14ac:dyDescent="0.35">
      <c r="B28" s="263"/>
      <c r="C28" s="218"/>
      <c r="D28" s="219"/>
      <c r="E28" s="230"/>
      <c r="F28" s="218"/>
      <c r="G28" s="218"/>
      <c r="H28" s="218"/>
      <c r="I28" s="219"/>
      <c r="J28" s="245" t="e">
        <f>IF(AND('Mapa final'!#REF!="Media",'Mapa final'!#REF!="Leve"),CONCATENATE("R",'Mapa final'!#REF!),"")</f>
        <v>#REF!</v>
      </c>
      <c r="K28" s="244"/>
      <c r="L28" s="231" t="str">
        <f>IF(AND('Mapa final'!$H$46="Media",'Mapa final'!$L$46="Leve"),CONCATENATE("R",'Mapa final'!$A$46),"")</f>
        <v/>
      </c>
      <c r="M28" s="244"/>
      <c r="N28" s="231" t="str">
        <f>IF(AND('Mapa final'!$H$52="Media",'Mapa final'!$L$52="Leve"),CONCATENATE("R",'Mapa final'!$A$52),"")</f>
        <v/>
      </c>
      <c r="O28" s="232"/>
      <c r="P28" s="245" t="e">
        <f>IF(AND('Mapa final'!#REF!="Media",'Mapa final'!#REF!="Menor"),CONCATENATE("R",'Mapa final'!#REF!),"")</f>
        <v>#REF!</v>
      </c>
      <c r="Q28" s="244"/>
      <c r="R28" s="231" t="str">
        <f>IF(AND('Mapa final'!$H$46="Media",'Mapa final'!$L$46="Menor"),CONCATENATE("R",'Mapa final'!$A$46),"")</f>
        <v/>
      </c>
      <c r="S28" s="244"/>
      <c r="T28" s="231" t="str">
        <f>IF(AND('Mapa final'!$H$52="Media",'Mapa final'!$L$52="Menor"),CONCATENATE("R",'Mapa final'!$A$52),"")</f>
        <v/>
      </c>
      <c r="U28" s="232"/>
      <c r="V28" s="245" t="e">
        <f>IF(AND('Mapa final'!#REF!="Media",'Mapa final'!#REF!="Moderado"),CONCATENATE("R",'Mapa final'!#REF!),"")</f>
        <v>#REF!</v>
      </c>
      <c r="W28" s="244"/>
      <c r="X28" s="231" t="str">
        <f>IF(AND('Mapa final'!$H$46="Media",'Mapa final'!$L$46="Moderado"),CONCATENATE("R",'Mapa final'!$A$46),"")</f>
        <v/>
      </c>
      <c r="Y28" s="244"/>
      <c r="Z28" s="231" t="str">
        <f>IF(AND('Mapa final'!$H$52="Media",'Mapa final'!$L$52="Moderado"),CONCATENATE("R",'Mapa final'!$A$52),"")</f>
        <v/>
      </c>
      <c r="AA28" s="232"/>
      <c r="AB28" s="246" t="e">
        <f>IF(AND('Mapa final'!#REF!="Media",'Mapa final'!#REF!="Mayor"),CONCATENATE("R",'Mapa final'!#REF!),"")</f>
        <v>#REF!</v>
      </c>
      <c r="AC28" s="244"/>
      <c r="AD28" s="247" t="str">
        <f>IF(AND('Mapa final'!$H$46="Media",'Mapa final'!$L$46="Mayor"),CONCATENATE("R",'Mapa final'!$A$46),"")</f>
        <v/>
      </c>
      <c r="AE28" s="244"/>
      <c r="AF28" s="247" t="str">
        <f>IF(AND('Mapa final'!$H$52="Media",'Mapa final'!$L$52="Mayor"),CONCATENATE("R",'Mapa final'!$A$52),"")</f>
        <v/>
      </c>
      <c r="AG28" s="232"/>
      <c r="AH28" s="248" t="e">
        <f>IF(AND('Mapa final'!#REF!="Media",'Mapa final'!#REF!="Catastrófico"),CONCATENATE("R",'Mapa final'!#REF!),"")</f>
        <v>#REF!</v>
      </c>
      <c r="AI28" s="244"/>
      <c r="AJ28" s="249" t="str">
        <f>IF(AND('Mapa final'!$H$46="Media",'Mapa final'!$L$46="Catastrófico"),CONCATENATE("R",'Mapa final'!$A$46),"")</f>
        <v/>
      </c>
      <c r="AK28" s="244"/>
      <c r="AL28" s="249" t="str">
        <f>IF(AND('Mapa final'!$H$52="Media",'Mapa final'!$L$52="Catastrófico"),CONCATENATE("R",'Mapa final'!$A$52),"")</f>
        <v/>
      </c>
      <c r="AM28" s="232"/>
      <c r="AN28" s="1"/>
      <c r="AO28" s="272"/>
      <c r="AP28" s="218"/>
      <c r="AQ28" s="218"/>
      <c r="AR28" s="218"/>
      <c r="AS28" s="218"/>
      <c r="AT28" s="273"/>
    </row>
    <row r="29" spans="2:46" ht="15.75" customHeight="1" x14ac:dyDescent="0.35">
      <c r="B29" s="263"/>
      <c r="C29" s="218"/>
      <c r="D29" s="219"/>
      <c r="E29" s="253"/>
      <c r="F29" s="254"/>
      <c r="G29" s="254"/>
      <c r="H29" s="254"/>
      <c r="I29" s="257"/>
      <c r="J29" s="240"/>
      <c r="K29" s="237"/>
      <c r="L29" s="233"/>
      <c r="M29" s="237"/>
      <c r="N29" s="233"/>
      <c r="O29" s="234"/>
      <c r="P29" s="253"/>
      <c r="Q29" s="255"/>
      <c r="R29" s="256"/>
      <c r="S29" s="255"/>
      <c r="T29" s="256"/>
      <c r="U29" s="257"/>
      <c r="V29" s="253"/>
      <c r="W29" s="255"/>
      <c r="X29" s="256"/>
      <c r="Y29" s="255"/>
      <c r="Z29" s="256"/>
      <c r="AA29" s="257"/>
      <c r="AB29" s="253"/>
      <c r="AC29" s="255"/>
      <c r="AD29" s="256"/>
      <c r="AE29" s="255"/>
      <c r="AF29" s="256"/>
      <c r="AG29" s="257"/>
      <c r="AH29" s="253"/>
      <c r="AI29" s="255"/>
      <c r="AJ29" s="256"/>
      <c r="AK29" s="255"/>
      <c r="AL29" s="256"/>
      <c r="AM29" s="257"/>
      <c r="AN29" s="1"/>
      <c r="AO29" s="274"/>
      <c r="AP29" s="275"/>
      <c r="AQ29" s="275"/>
      <c r="AR29" s="275"/>
      <c r="AS29" s="275"/>
      <c r="AT29" s="276"/>
    </row>
    <row r="30" spans="2:46" ht="15.75" customHeight="1" x14ac:dyDescent="0.35">
      <c r="B30" s="263"/>
      <c r="C30" s="218"/>
      <c r="D30" s="219"/>
      <c r="E30" s="251" t="s">
        <v>101</v>
      </c>
      <c r="F30" s="252"/>
      <c r="G30" s="252"/>
      <c r="H30" s="252"/>
      <c r="I30" s="252"/>
      <c r="J30" s="268" t="str">
        <f>IF(AND('Mapa final'!$H$16="Baja",'Mapa final'!$L$16="Leve"),CONCATENATE("R",'Mapa final'!$A$16),"")</f>
        <v/>
      </c>
      <c r="K30" s="236"/>
      <c r="L30" s="267" t="str">
        <f>IF(AND('Mapa final'!$H$21="Baja",'Mapa final'!$L$21="Leve"),CONCATENATE("R",'Mapa final'!$A$21),"")</f>
        <v/>
      </c>
      <c r="M30" s="236"/>
      <c r="N30" s="267" t="str">
        <f>IF(AND('Mapa final'!$H$26="Baja",'Mapa final'!$L$26="Leve"),CONCATENATE("R",'Mapa final'!$A$26),"")</f>
        <v/>
      </c>
      <c r="O30" s="238"/>
      <c r="P30" s="235" t="str">
        <f>IF(AND('Mapa final'!$H$16="Baja",'Mapa final'!$L$16="Menor"),CONCATENATE("R",'Mapa final'!$A$16),"")</f>
        <v/>
      </c>
      <c r="Q30" s="236"/>
      <c r="R30" s="235" t="str">
        <f>IF(AND('Mapa final'!$H$21="Baja",'Mapa final'!$L$21="Menor"),CONCATENATE("R",'Mapa final'!$A$21),"")</f>
        <v/>
      </c>
      <c r="S30" s="236"/>
      <c r="T30" s="235" t="str">
        <f>IF(AND('Mapa final'!$H$26="Baja",'Mapa final'!$L$26="Menor"),CONCATENATE("R",'Mapa final'!$A$26),"")</f>
        <v/>
      </c>
      <c r="U30" s="238"/>
      <c r="V30" s="250" t="str">
        <f>IF(AND('Mapa final'!$H$16="Baja",'Mapa final'!$L$16="Moderado"),CONCATENATE("R",'Mapa final'!$A$16),"")</f>
        <v/>
      </c>
      <c r="W30" s="236"/>
      <c r="X30" s="235" t="str">
        <f>IF(AND('Mapa final'!$H$21="Baja",'Mapa final'!$L$21="Moderado"),CONCATENATE("R",'Mapa final'!$A$21),"")</f>
        <v>R2</v>
      </c>
      <c r="Y30" s="236"/>
      <c r="Z30" s="235" t="str">
        <f>IF(AND('Mapa final'!$H$26="Baja",'Mapa final'!$L$26="Moderado"),CONCATENATE("R",'Mapa final'!$A$26),"")</f>
        <v>R3</v>
      </c>
      <c r="AA30" s="238"/>
      <c r="AB30" s="239" t="str">
        <f>IF(AND('Mapa final'!$H$16="Baja",'Mapa final'!$L$16="Mayor"),CONCATENATE("R",'Mapa final'!$A$16),"")</f>
        <v/>
      </c>
      <c r="AC30" s="236"/>
      <c r="AD30" s="241" t="str">
        <f>IF(AND('Mapa final'!$H$21="Baja",'Mapa final'!$L$21="Mayor"),CONCATENATE("R",'Mapa final'!$A$21),"")</f>
        <v/>
      </c>
      <c r="AE30" s="236"/>
      <c r="AF30" s="241" t="str">
        <f>IF(AND('Mapa final'!$H$26="Baja",'Mapa final'!$L$26="Mayor"),CONCATENATE("R",'Mapa final'!$A$26),"")</f>
        <v/>
      </c>
      <c r="AG30" s="238"/>
      <c r="AH30" s="258" t="str">
        <f>IF(AND('Mapa final'!$H$16="Baja",'Mapa final'!$L$16="Catastrófico"),CONCATENATE("R",'Mapa final'!$A$16),"")</f>
        <v/>
      </c>
      <c r="AI30" s="236"/>
      <c r="AJ30" s="242" t="str">
        <f>IF(AND('Mapa final'!$H$21="Baja",'Mapa final'!$L$21="Catastrófico"),CONCATENATE("R",'Mapa final'!$A$21),"")</f>
        <v/>
      </c>
      <c r="AK30" s="236"/>
      <c r="AL30" s="242" t="str">
        <f>IF(AND('Mapa final'!$H$26="Baja",'Mapa final'!$L$26="Catastrófico"),CONCATENATE("R",'Mapa final'!$A$26),"")</f>
        <v/>
      </c>
      <c r="AM30" s="238"/>
      <c r="AN30" s="1"/>
      <c r="AO30" s="277" t="s">
        <v>102</v>
      </c>
      <c r="AP30" s="270"/>
      <c r="AQ30" s="270"/>
      <c r="AR30" s="270"/>
      <c r="AS30" s="270"/>
      <c r="AT30" s="271"/>
    </row>
    <row r="31" spans="2:46" ht="15.75" customHeight="1" x14ac:dyDescent="0.35">
      <c r="B31" s="263"/>
      <c r="C31" s="218"/>
      <c r="D31" s="219"/>
      <c r="E31" s="230"/>
      <c r="F31" s="218"/>
      <c r="G31" s="218"/>
      <c r="H31" s="218"/>
      <c r="I31" s="218"/>
      <c r="J31" s="240"/>
      <c r="K31" s="237"/>
      <c r="L31" s="233"/>
      <c r="M31" s="237"/>
      <c r="N31" s="233"/>
      <c r="O31" s="234"/>
      <c r="P31" s="233"/>
      <c r="Q31" s="237"/>
      <c r="R31" s="233"/>
      <c r="S31" s="237"/>
      <c r="T31" s="233"/>
      <c r="U31" s="234"/>
      <c r="V31" s="240"/>
      <c r="W31" s="237"/>
      <c r="X31" s="233"/>
      <c r="Y31" s="237"/>
      <c r="Z31" s="233"/>
      <c r="AA31" s="234"/>
      <c r="AB31" s="240"/>
      <c r="AC31" s="237"/>
      <c r="AD31" s="233"/>
      <c r="AE31" s="237"/>
      <c r="AF31" s="233"/>
      <c r="AG31" s="234"/>
      <c r="AH31" s="240"/>
      <c r="AI31" s="237"/>
      <c r="AJ31" s="233"/>
      <c r="AK31" s="237"/>
      <c r="AL31" s="233"/>
      <c r="AM31" s="234"/>
      <c r="AN31" s="1"/>
      <c r="AO31" s="272"/>
      <c r="AP31" s="218"/>
      <c r="AQ31" s="218"/>
      <c r="AR31" s="218"/>
      <c r="AS31" s="218"/>
      <c r="AT31" s="273"/>
    </row>
    <row r="32" spans="2:46" ht="15.75" customHeight="1" x14ac:dyDescent="0.35">
      <c r="B32" s="263"/>
      <c r="C32" s="218"/>
      <c r="D32" s="219"/>
      <c r="E32" s="230"/>
      <c r="F32" s="218"/>
      <c r="G32" s="218"/>
      <c r="H32" s="218"/>
      <c r="I32" s="218"/>
      <c r="J32" s="259" t="str">
        <f>IF(AND('Mapa final'!$H$31="Baja",'Mapa final'!$L$31="Leve"),CONCATENATE("R",'Mapa final'!$A$31),"")</f>
        <v/>
      </c>
      <c r="K32" s="244"/>
      <c r="L32" s="243" t="str">
        <f>IF(AND('Mapa final'!$H$36="Baja",'Mapa final'!$L$36="Leve"),CONCATENATE("R",'Mapa final'!$A$36),"")</f>
        <v/>
      </c>
      <c r="M32" s="244"/>
      <c r="N32" s="243" t="str">
        <f>IF(AND('Mapa final'!$H$41="Baja",'Mapa final'!$L$41="Leve"),CONCATENATE("R",'Mapa final'!$A$41),"")</f>
        <v/>
      </c>
      <c r="O32" s="232"/>
      <c r="P32" s="231" t="str">
        <f>IF(AND('Mapa final'!$H$31="Baja",'Mapa final'!$L$31="Menor"),CONCATENATE("R",'Mapa final'!$A$31),"")</f>
        <v/>
      </c>
      <c r="Q32" s="244"/>
      <c r="R32" s="231" t="str">
        <f>IF(AND('Mapa final'!$H$36="Baja",'Mapa final'!$L$36="Menor"),CONCATENATE("R",'Mapa final'!$A$36),"")</f>
        <v/>
      </c>
      <c r="S32" s="244"/>
      <c r="T32" s="231" t="str">
        <f>IF(AND('Mapa final'!$H$41="Baja",'Mapa final'!$L$41="Menor"),CONCATENATE("R",'Mapa final'!$A$41),"")</f>
        <v/>
      </c>
      <c r="U32" s="232"/>
      <c r="V32" s="245" t="str">
        <f>IF(AND('Mapa final'!$H$31="Baja",'Mapa final'!$L$31="Moderado"),CONCATENATE("R",'Mapa final'!$A$31),"")</f>
        <v/>
      </c>
      <c r="W32" s="244"/>
      <c r="X32" s="231" t="str">
        <f>IF(AND('Mapa final'!$H$36="Baja",'Mapa final'!$L$36="Moderado"),CONCATENATE("R",'Mapa final'!$A$36),"")</f>
        <v/>
      </c>
      <c r="Y32" s="244"/>
      <c r="Z32" s="231" t="str">
        <f>IF(AND('Mapa final'!$H$41="Baja",'Mapa final'!$L$41="Moderado"),CONCATENATE("R",'Mapa final'!$A$41),"")</f>
        <v/>
      </c>
      <c r="AA32" s="232"/>
      <c r="AB32" s="246" t="str">
        <f>IF(AND('Mapa final'!$H$31="Baja",'Mapa final'!$L$31="Mayor"),CONCATENATE("R",'Mapa final'!$A$31),"")</f>
        <v/>
      </c>
      <c r="AC32" s="244"/>
      <c r="AD32" s="247" t="str">
        <f>IF(AND('Mapa final'!$H$36="Baja",'Mapa final'!$L$36="Mayor"),CONCATENATE("R",'Mapa final'!$A$36),"")</f>
        <v/>
      </c>
      <c r="AE32" s="244"/>
      <c r="AF32" s="247" t="str">
        <f>IF(AND('Mapa final'!$H$41="Baja",'Mapa final'!$L$41="Mayor"),CONCATENATE("R",'Mapa final'!$A$41),"")</f>
        <v/>
      </c>
      <c r="AG32" s="232"/>
      <c r="AH32" s="248" t="str">
        <f>IF(AND('Mapa final'!$H$31="Baja",'Mapa final'!$L$31="Catastrófico"),CONCATENATE("R",'Mapa final'!$A$31),"")</f>
        <v/>
      </c>
      <c r="AI32" s="244"/>
      <c r="AJ32" s="249" t="str">
        <f>IF(AND('Mapa final'!$H$36="Baja",'Mapa final'!$L$36="Catastrófico"),CONCATENATE("R",'Mapa final'!$A$36),"")</f>
        <v/>
      </c>
      <c r="AK32" s="244"/>
      <c r="AL32" s="249" t="str">
        <f>IF(AND('Mapa final'!$H$41="Baja",'Mapa final'!$L$41="Catastrófico"),CONCATENATE("R",'Mapa final'!$A$41),"")</f>
        <v/>
      </c>
      <c r="AM32" s="232"/>
      <c r="AN32" s="1"/>
      <c r="AO32" s="272"/>
      <c r="AP32" s="218"/>
      <c r="AQ32" s="218"/>
      <c r="AR32" s="218"/>
      <c r="AS32" s="218"/>
      <c r="AT32" s="273"/>
    </row>
    <row r="33" spans="2:46" ht="15.75" customHeight="1" x14ac:dyDescent="0.35">
      <c r="B33" s="263"/>
      <c r="C33" s="218"/>
      <c r="D33" s="219"/>
      <c r="E33" s="230"/>
      <c r="F33" s="218"/>
      <c r="G33" s="218"/>
      <c r="H33" s="218"/>
      <c r="I33" s="218"/>
      <c r="J33" s="240"/>
      <c r="K33" s="237"/>
      <c r="L33" s="233"/>
      <c r="M33" s="237"/>
      <c r="N33" s="233"/>
      <c r="O33" s="234"/>
      <c r="P33" s="233"/>
      <c r="Q33" s="237"/>
      <c r="R33" s="233"/>
      <c r="S33" s="237"/>
      <c r="T33" s="233"/>
      <c r="U33" s="234"/>
      <c r="V33" s="240"/>
      <c r="W33" s="237"/>
      <c r="X33" s="233"/>
      <c r="Y33" s="237"/>
      <c r="Z33" s="233"/>
      <c r="AA33" s="234"/>
      <c r="AB33" s="240"/>
      <c r="AC33" s="237"/>
      <c r="AD33" s="233"/>
      <c r="AE33" s="237"/>
      <c r="AF33" s="233"/>
      <c r="AG33" s="234"/>
      <c r="AH33" s="240"/>
      <c r="AI33" s="237"/>
      <c r="AJ33" s="233"/>
      <c r="AK33" s="237"/>
      <c r="AL33" s="233"/>
      <c r="AM33" s="234"/>
      <c r="AN33" s="1"/>
      <c r="AO33" s="272"/>
      <c r="AP33" s="218"/>
      <c r="AQ33" s="218"/>
      <c r="AR33" s="218"/>
      <c r="AS33" s="218"/>
      <c r="AT33" s="273"/>
    </row>
    <row r="34" spans="2:46" ht="15.75" customHeight="1" x14ac:dyDescent="0.35">
      <c r="B34" s="263"/>
      <c r="C34" s="218"/>
      <c r="D34" s="219"/>
      <c r="E34" s="230"/>
      <c r="F34" s="218"/>
      <c r="G34" s="218"/>
      <c r="H34" s="218"/>
      <c r="I34" s="218"/>
      <c r="J34" s="259" t="e">
        <f>IF(AND('Mapa final'!#REF!="Baja",'Mapa final'!#REF!="Leve"),CONCATENATE("R",'Mapa final'!#REF!),"")</f>
        <v>#REF!</v>
      </c>
      <c r="K34" s="244"/>
      <c r="L34" s="243" t="e">
        <f>IF(AND('Mapa final'!#REF!="Baja",'Mapa final'!#REF!="Leve"),CONCATENATE("R",'Mapa final'!#REF!),"")</f>
        <v>#REF!</v>
      </c>
      <c r="M34" s="244"/>
      <c r="N34" s="243" t="e">
        <f>IF(AND('Mapa final'!#REF!="Baja",'Mapa final'!#REF!="Leve"),CONCATENATE("R",'Mapa final'!#REF!),"")</f>
        <v>#REF!</v>
      </c>
      <c r="O34" s="232"/>
      <c r="P34" s="231" t="e">
        <f>IF(AND('Mapa final'!#REF!="Baja",'Mapa final'!#REF!="Menor"),CONCATENATE("R",'Mapa final'!#REF!),"")</f>
        <v>#REF!</v>
      </c>
      <c r="Q34" s="244"/>
      <c r="R34" s="231" t="e">
        <f>IF(AND('Mapa final'!#REF!="Baja",'Mapa final'!#REF!="Menor"),CONCATENATE("R",'Mapa final'!#REF!),"")</f>
        <v>#REF!</v>
      </c>
      <c r="S34" s="244"/>
      <c r="T34" s="231" t="e">
        <f>IF(AND('Mapa final'!#REF!="Baja",'Mapa final'!#REF!="Menor"),CONCATENATE("R",'Mapa final'!#REF!),"")</f>
        <v>#REF!</v>
      </c>
      <c r="U34" s="232"/>
      <c r="V34" s="245" t="e">
        <f>IF(AND('Mapa final'!#REF!="Baja",'Mapa final'!#REF!="Moderado"),CONCATENATE("R",'Mapa final'!#REF!),"")</f>
        <v>#REF!</v>
      </c>
      <c r="W34" s="244"/>
      <c r="X34" s="231" t="e">
        <f>IF(AND('Mapa final'!#REF!="Baja",'Mapa final'!#REF!="Moderado"),CONCATENATE("R",'Mapa final'!#REF!),"")</f>
        <v>#REF!</v>
      </c>
      <c r="Y34" s="244"/>
      <c r="Z34" s="231" t="e">
        <f>IF(AND('Mapa final'!#REF!="Baja",'Mapa final'!#REF!="Moderado"),CONCATENATE("R",'Mapa final'!#REF!),"")</f>
        <v>#REF!</v>
      </c>
      <c r="AA34" s="232"/>
      <c r="AB34" s="246" t="e">
        <f>IF(AND('Mapa final'!#REF!="Baja",'Mapa final'!#REF!="Mayor"),CONCATENATE("R",'Mapa final'!#REF!),"")</f>
        <v>#REF!</v>
      </c>
      <c r="AC34" s="244"/>
      <c r="AD34" s="247" t="e">
        <f>IF(AND('Mapa final'!#REF!="Baja",'Mapa final'!#REF!="Mayor"),CONCATENATE("R",'Mapa final'!#REF!),"")</f>
        <v>#REF!</v>
      </c>
      <c r="AE34" s="244"/>
      <c r="AF34" s="247" t="e">
        <f>IF(AND('Mapa final'!#REF!="Baja",'Mapa final'!#REF!="Mayor"),CONCATENATE("R",'Mapa final'!#REF!),"")</f>
        <v>#REF!</v>
      </c>
      <c r="AG34" s="232"/>
      <c r="AH34" s="248" t="e">
        <f>IF(AND('Mapa final'!#REF!="Baja",'Mapa final'!#REF!="Catastrófico"),CONCATENATE("R",'Mapa final'!#REF!),"")</f>
        <v>#REF!</v>
      </c>
      <c r="AI34" s="244"/>
      <c r="AJ34" s="249" t="e">
        <f>IF(AND('Mapa final'!#REF!="Baja",'Mapa final'!#REF!="Catastrófico"),CONCATENATE("R",'Mapa final'!#REF!),"")</f>
        <v>#REF!</v>
      </c>
      <c r="AK34" s="244"/>
      <c r="AL34" s="249" t="e">
        <f>IF(AND('Mapa final'!#REF!="Baja",'Mapa final'!#REF!="Catastrófico"),CONCATENATE("R",'Mapa final'!#REF!),"")</f>
        <v>#REF!</v>
      </c>
      <c r="AM34" s="232"/>
      <c r="AN34" s="1"/>
      <c r="AO34" s="272"/>
      <c r="AP34" s="218"/>
      <c r="AQ34" s="218"/>
      <c r="AR34" s="218"/>
      <c r="AS34" s="218"/>
      <c r="AT34" s="273"/>
    </row>
    <row r="35" spans="2:46" ht="15.75" customHeight="1" x14ac:dyDescent="0.35">
      <c r="B35" s="263"/>
      <c r="C35" s="218"/>
      <c r="D35" s="219"/>
      <c r="E35" s="230"/>
      <c r="F35" s="218"/>
      <c r="G35" s="218"/>
      <c r="H35" s="218"/>
      <c r="I35" s="218"/>
      <c r="J35" s="240"/>
      <c r="K35" s="237"/>
      <c r="L35" s="233"/>
      <c r="M35" s="237"/>
      <c r="N35" s="233"/>
      <c r="O35" s="234"/>
      <c r="P35" s="233"/>
      <c r="Q35" s="237"/>
      <c r="R35" s="233"/>
      <c r="S35" s="237"/>
      <c r="T35" s="233"/>
      <c r="U35" s="234"/>
      <c r="V35" s="240"/>
      <c r="W35" s="237"/>
      <c r="X35" s="233"/>
      <c r="Y35" s="237"/>
      <c r="Z35" s="233"/>
      <c r="AA35" s="234"/>
      <c r="AB35" s="240"/>
      <c r="AC35" s="237"/>
      <c r="AD35" s="233"/>
      <c r="AE35" s="237"/>
      <c r="AF35" s="233"/>
      <c r="AG35" s="234"/>
      <c r="AH35" s="240"/>
      <c r="AI35" s="237"/>
      <c r="AJ35" s="233"/>
      <c r="AK35" s="237"/>
      <c r="AL35" s="233"/>
      <c r="AM35" s="234"/>
      <c r="AN35" s="1"/>
      <c r="AO35" s="272"/>
      <c r="AP35" s="218"/>
      <c r="AQ35" s="218"/>
      <c r="AR35" s="218"/>
      <c r="AS35" s="218"/>
      <c r="AT35" s="273"/>
    </row>
    <row r="36" spans="2:46" ht="15.75" customHeight="1" x14ac:dyDescent="0.35">
      <c r="B36" s="263"/>
      <c r="C36" s="218"/>
      <c r="D36" s="219"/>
      <c r="E36" s="230"/>
      <c r="F36" s="218"/>
      <c r="G36" s="218"/>
      <c r="H36" s="218"/>
      <c r="I36" s="218"/>
      <c r="J36" s="259" t="e">
        <f>IF(AND('Mapa final'!#REF!="Baja",'Mapa final'!#REF!="Leve"),CONCATENATE("R",'Mapa final'!#REF!),"")</f>
        <v>#REF!</v>
      </c>
      <c r="K36" s="244"/>
      <c r="L36" s="243" t="str">
        <f>IF(AND('Mapa final'!$H$46="Baja",'Mapa final'!$L$46="Leve"),CONCATENATE("R",'Mapa final'!$A$46),"")</f>
        <v/>
      </c>
      <c r="M36" s="244"/>
      <c r="N36" s="243" t="str">
        <f>IF(AND('Mapa final'!$H$52="Baja",'Mapa final'!$L$52="Leve"),CONCATENATE("R",'Mapa final'!$A$52),"")</f>
        <v/>
      </c>
      <c r="O36" s="232"/>
      <c r="P36" s="231" t="e">
        <f>IF(AND('Mapa final'!#REF!="Baja",'Mapa final'!#REF!="Menor"),CONCATENATE("R",'Mapa final'!#REF!),"")</f>
        <v>#REF!</v>
      </c>
      <c r="Q36" s="244"/>
      <c r="R36" s="231" t="str">
        <f>IF(AND('Mapa final'!$H$46="Baja",'Mapa final'!$L$46="Menor"),CONCATENATE("R",'Mapa final'!$A$46),"")</f>
        <v/>
      </c>
      <c r="S36" s="244"/>
      <c r="T36" s="231" t="str">
        <f>IF(AND('Mapa final'!$H$52="Baja",'Mapa final'!$L$52="Menor"),CONCATENATE("R",'Mapa final'!$A$52),"")</f>
        <v/>
      </c>
      <c r="U36" s="232"/>
      <c r="V36" s="245" t="e">
        <f>IF(AND('Mapa final'!#REF!="Baja",'Mapa final'!#REF!="Moderado"),CONCATENATE("R",'Mapa final'!#REF!),"")</f>
        <v>#REF!</v>
      </c>
      <c r="W36" s="244"/>
      <c r="X36" s="231" t="str">
        <f>IF(AND('Mapa final'!$H$46="Baja",'Mapa final'!$L$46="Moderado"),CONCATENATE("R",'Mapa final'!$A$46),"")</f>
        <v/>
      </c>
      <c r="Y36" s="244"/>
      <c r="Z36" s="231" t="str">
        <f>IF(AND('Mapa final'!$H$52="Baja",'Mapa final'!$L$52="Moderado"),CONCATENATE("R",'Mapa final'!$A$52),"")</f>
        <v/>
      </c>
      <c r="AA36" s="232"/>
      <c r="AB36" s="246" t="e">
        <f>IF(AND('Mapa final'!#REF!="Baja",'Mapa final'!#REF!="Mayor"),CONCATENATE("R",'Mapa final'!#REF!),"")</f>
        <v>#REF!</v>
      </c>
      <c r="AC36" s="244"/>
      <c r="AD36" s="247" t="str">
        <f>IF(AND('Mapa final'!$H$46="Baja",'Mapa final'!$L$46="Mayor"),CONCATENATE("R",'Mapa final'!$A$46),"")</f>
        <v/>
      </c>
      <c r="AE36" s="244"/>
      <c r="AF36" s="247" t="str">
        <f>IF(AND('Mapa final'!$H$52="Baja",'Mapa final'!$L$52="Mayor"),CONCATENATE("R",'Mapa final'!$A$52),"")</f>
        <v/>
      </c>
      <c r="AG36" s="232"/>
      <c r="AH36" s="248" t="e">
        <f>IF(AND('Mapa final'!#REF!="Baja",'Mapa final'!#REF!="Catastrófico"),CONCATENATE("R",'Mapa final'!#REF!),"")</f>
        <v>#REF!</v>
      </c>
      <c r="AI36" s="244"/>
      <c r="AJ36" s="249" t="str">
        <f>IF(AND('Mapa final'!$H$46="Baja",'Mapa final'!$L$46="Catastrófico"),CONCATENATE("R",'Mapa final'!$A$46),"")</f>
        <v/>
      </c>
      <c r="AK36" s="244"/>
      <c r="AL36" s="249" t="str">
        <f>IF(AND('Mapa final'!$H$52="Baja",'Mapa final'!$L$52="Catastrófico"),CONCATENATE("R",'Mapa final'!$A$52),"")</f>
        <v/>
      </c>
      <c r="AM36" s="232"/>
      <c r="AN36" s="1"/>
      <c r="AO36" s="272"/>
      <c r="AP36" s="218"/>
      <c r="AQ36" s="218"/>
      <c r="AR36" s="218"/>
      <c r="AS36" s="218"/>
      <c r="AT36" s="273"/>
    </row>
    <row r="37" spans="2:46" ht="15.75" customHeight="1" x14ac:dyDescent="0.35">
      <c r="B37" s="263"/>
      <c r="C37" s="218"/>
      <c r="D37" s="219"/>
      <c r="E37" s="253"/>
      <c r="F37" s="254"/>
      <c r="G37" s="254"/>
      <c r="H37" s="254"/>
      <c r="I37" s="254"/>
      <c r="J37" s="253"/>
      <c r="K37" s="255"/>
      <c r="L37" s="256"/>
      <c r="M37" s="255"/>
      <c r="N37" s="256"/>
      <c r="O37" s="257"/>
      <c r="P37" s="256"/>
      <c r="Q37" s="255"/>
      <c r="R37" s="256"/>
      <c r="S37" s="255"/>
      <c r="T37" s="256"/>
      <c r="U37" s="257"/>
      <c r="V37" s="253"/>
      <c r="W37" s="255"/>
      <c r="X37" s="256"/>
      <c r="Y37" s="255"/>
      <c r="Z37" s="256"/>
      <c r="AA37" s="257"/>
      <c r="AB37" s="253"/>
      <c r="AC37" s="255"/>
      <c r="AD37" s="256"/>
      <c r="AE37" s="255"/>
      <c r="AF37" s="256"/>
      <c r="AG37" s="257"/>
      <c r="AH37" s="253"/>
      <c r="AI37" s="255"/>
      <c r="AJ37" s="256"/>
      <c r="AK37" s="255"/>
      <c r="AL37" s="256"/>
      <c r="AM37" s="257"/>
      <c r="AN37" s="1"/>
      <c r="AO37" s="274"/>
      <c r="AP37" s="275"/>
      <c r="AQ37" s="275"/>
      <c r="AR37" s="275"/>
      <c r="AS37" s="275"/>
      <c r="AT37" s="276"/>
    </row>
    <row r="38" spans="2:46" ht="15.75" customHeight="1" x14ac:dyDescent="0.35">
      <c r="B38" s="263"/>
      <c r="C38" s="218"/>
      <c r="D38" s="219"/>
      <c r="E38" s="251" t="s">
        <v>103</v>
      </c>
      <c r="F38" s="252"/>
      <c r="G38" s="252"/>
      <c r="H38" s="252"/>
      <c r="I38" s="238"/>
      <c r="J38" s="268" t="str">
        <f>IF(AND('Mapa final'!$H$16="Muy Baja",'Mapa final'!$L$16="Leve"),CONCATENATE("R",'Mapa final'!$A$16),"")</f>
        <v/>
      </c>
      <c r="K38" s="236"/>
      <c r="L38" s="267" t="str">
        <f>IF(AND('Mapa final'!$H$21="Muy Baja",'Mapa final'!$L$21="Leve"),CONCATENATE("R",'Mapa final'!$A$21),"")</f>
        <v/>
      </c>
      <c r="M38" s="236"/>
      <c r="N38" s="267" t="str">
        <f>IF(AND('Mapa final'!$H$26="Muy Baja",'Mapa final'!$L$26="Leve"),CONCATENATE("R",'Mapa final'!$A$26),"")</f>
        <v/>
      </c>
      <c r="O38" s="238"/>
      <c r="P38" s="268" t="str">
        <f>IF(AND('Mapa final'!$H$16="Muy Baja",'Mapa final'!$L$16="Menor"),CONCATENATE("R",'Mapa final'!$A$16),"")</f>
        <v/>
      </c>
      <c r="Q38" s="236"/>
      <c r="R38" s="267" t="str">
        <f>IF(AND('Mapa final'!$H$21="Muy Baja",'Mapa final'!$L$21="Menor"),CONCATENATE("R",'Mapa final'!$A$21),"")</f>
        <v/>
      </c>
      <c r="S38" s="236"/>
      <c r="T38" s="267" t="str">
        <f>IF(AND('Mapa final'!$H$26="Muy Baja",'Mapa final'!$L$26="Menor"),CONCATENATE("R",'Mapa final'!$A$26),"")</f>
        <v/>
      </c>
      <c r="U38" s="238"/>
      <c r="V38" s="250" t="str">
        <f>IF(AND('Mapa final'!$H$16="Muy Baja",'Mapa final'!$L$16="Moderado"),CONCATENATE("R",'Mapa final'!$A$16),"")</f>
        <v/>
      </c>
      <c r="W38" s="236"/>
      <c r="X38" s="235" t="str">
        <f>IF(AND('Mapa final'!$H$21="Muy Baja",'Mapa final'!$L$21="Moderado"),CONCATENATE("R",'Mapa final'!$A$21),"")</f>
        <v/>
      </c>
      <c r="Y38" s="236"/>
      <c r="Z38" s="235" t="str">
        <f>IF(AND('Mapa final'!$H$26="Muy Baja",'Mapa final'!$L$26="Moderado"),CONCATENATE("R",'Mapa final'!$A$26),"")</f>
        <v/>
      </c>
      <c r="AA38" s="238"/>
      <c r="AB38" s="239" t="str">
        <f>IF(AND('Mapa final'!$H$16="Muy Baja",'Mapa final'!$L$16="Mayor"),CONCATENATE("R",'Mapa final'!$A$16),"")</f>
        <v/>
      </c>
      <c r="AC38" s="236"/>
      <c r="AD38" s="241" t="str">
        <f>IF(AND('Mapa final'!$H$21="Muy Baja",'Mapa final'!$L$21="Mayor"),CONCATENATE("R",'Mapa final'!$A$21),"")</f>
        <v/>
      </c>
      <c r="AE38" s="236"/>
      <c r="AF38" s="241" t="str">
        <f>IF(AND('Mapa final'!$H$26="Muy Baja",'Mapa final'!$L$26="Mayor"),CONCATENATE("R",'Mapa final'!$A$26),"")</f>
        <v/>
      </c>
      <c r="AG38" s="238"/>
      <c r="AH38" s="258" t="str">
        <f>IF(AND('Mapa final'!$H$16="Muy Baja",'Mapa final'!$L$16="Catastrófico"),CONCATENATE("R",'Mapa final'!$A$16),"")</f>
        <v/>
      </c>
      <c r="AI38" s="236"/>
      <c r="AJ38" s="242" t="str">
        <f>IF(AND('Mapa final'!$H$21="Muy Baja",'Mapa final'!$L$21="Catastrófico"),CONCATENATE("R",'Mapa final'!$A$21),"")</f>
        <v/>
      </c>
      <c r="AK38" s="236"/>
      <c r="AL38" s="242" t="str">
        <f>IF(AND('Mapa final'!$H$26="Muy Baja",'Mapa final'!$L$26="Catastrófico"),CONCATENATE("R",'Mapa final'!$A$26),"")</f>
        <v/>
      </c>
      <c r="AM38" s="238"/>
      <c r="AN38" s="1"/>
      <c r="AO38" s="1"/>
      <c r="AP38" s="1"/>
      <c r="AQ38" s="1"/>
      <c r="AR38" s="1"/>
      <c r="AS38" s="1"/>
      <c r="AT38" s="1"/>
    </row>
    <row r="39" spans="2:46" ht="15.75" customHeight="1" x14ac:dyDescent="0.35">
      <c r="B39" s="263"/>
      <c r="C39" s="218"/>
      <c r="D39" s="219"/>
      <c r="E39" s="230"/>
      <c r="F39" s="218"/>
      <c r="G39" s="218"/>
      <c r="H39" s="218"/>
      <c r="I39" s="219"/>
      <c r="J39" s="240"/>
      <c r="K39" s="237"/>
      <c r="L39" s="233"/>
      <c r="M39" s="237"/>
      <c r="N39" s="233"/>
      <c r="O39" s="234"/>
      <c r="P39" s="240"/>
      <c r="Q39" s="237"/>
      <c r="R39" s="233"/>
      <c r="S39" s="237"/>
      <c r="T39" s="233"/>
      <c r="U39" s="234"/>
      <c r="V39" s="240"/>
      <c r="W39" s="237"/>
      <c r="X39" s="233"/>
      <c r="Y39" s="237"/>
      <c r="Z39" s="233"/>
      <c r="AA39" s="234"/>
      <c r="AB39" s="240"/>
      <c r="AC39" s="237"/>
      <c r="AD39" s="233"/>
      <c r="AE39" s="237"/>
      <c r="AF39" s="233"/>
      <c r="AG39" s="234"/>
      <c r="AH39" s="240"/>
      <c r="AI39" s="237"/>
      <c r="AJ39" s="233"/>
      <c r="AK39" s="237"/>
      <c r="AL39" s="233"/>
      <c r="AM39" s="234"/>
      <c r="AN39" s="1"/>
      <c r="AO39" s="1"/>
      <c r="AP39" s="1"/>
      <c r="AQ39" s="1"/>
      <c r="AR39" s="1"/>
      <c r="AS39" s="1"/>
      <c r="AT39" s="1"/>
    </row>
    <row r="40" spans="2:46" ht="15.75" customHeight="1" x14ac:dyDescent="0.35">
      <c r="B40" s="263"/>
      <c r="C40" s="218"/>
      <c r="D40" s="219"/>
      <c r="E40" s="230"/>
      <c r="F40" s="218"/>
      <c r="G40" s="218"/>
      <c r="H40" s="218"/>
      <c r="I40" s="219"/>
      <c r="J40" s="259" t="str">
        <f>IF(AND('Mapa final'!$H$31="Muy Baja",'Mapa final'!$L$31="Leve"),CONCATENATE("R",'Mapa final'!$A$31),"")</f>
        <v/>
      </c>
      <c r="K40" s="244"/>
      <c r="L40" s="243" t="str">
        <f>IF(AND('Mapa final'!$H$36="Muy Baja",'Mapa final'!$L$36="Leve"),CONCATENATE("R",'Mapa final'!$A$36),"")</f>
        <v/>
      </c>
      <c r="M40" s="244"/>
      <c r="N40" s="243" t="str">
        <f>IF(AND('Mapa final'!$H$41="Muy Baja",'Mapa final'!$L$41="Leve"),CONCATENATE("R",'Mapa final'!$A$41),"")</f>
        <v/>
      </c>
      <c r="O40" s="232"/>
      <c r="P40" s="259" t="str">
        <f>IF(AND('Mapa final'!$H$31="Muy Baja",'Mapa final'!$L$31="Menor"),CONCATENATE("R",'Mapa final'!$A$31),"")</f>
        <v/>
      </c>
      <c r="Q40" s="244"/>
      <c r="R40" s="243" t="str">
        <f>IF(AND('Mapa final'!$H$36="Muy Baja",'Mapa final'!$L$36="Menor"),CONCATENATE("R",'Mapa final'!$A$36),"")</f>
        <v/>
      </c>
      <c r="S40" s="244"/>
      <c r="T40" s="243" t="str">
        <f>IF(AND('Mapa final'!$H$41="Muy Baja",'Mapa final'!$L$41="Menor"),CONCATENATE("R",'Mapa final'!$A$41),"")</f>
        <v/>
      </c>
      <c r="U40" s="232"/>
      <c r="V40" s="245" t="str">
        <f>IF(AND('Mapa final'!$H$31="Muy Baja",'Mapa final'!$L$31="Moderado"),CONCATENATE("R",'Mapa final'!$A$31),"")</f>
        <v/>
      </c>
      <c r="W40" s="244"/>
      <c r="X40" s="231" t="str">
        <f>IF(AND('Mapa final'!$H$36="Muy Baja",'Mapa final'!$L$36="Moderado"),CONCATENATE("R",'Mapa final'!$A$36),"")</f>
        <v/>
      </c>
      <c r="Y40" s="244"/>
      <c r="Z40" s="231" t="str">
        <f>IF(AND('Mapa final'!$H$41="Muy Baja",'Mapa final'!$L$41="Moderado"),CONCATENATE("R",'Mapa final'!$A$41),"")</f>
        <v/>
      </c>
      <c r="AA40" s="232"/>
      <c r="AB40" s="246" t="str">
        <f>IF(AND('Mapa final'!$H$31="Muy Baja",'Mapa final'!$L$31="Mayor"),CONCATENATE("R",'Mapa final'!$A$31),"")</f>
        <v/>
      </c>
      <c r="AC40" s="244"/>
      <c r="AD40" s="247" t="str">
        <f>IF(AND('Mapa final'!$H$36="Muy Baja",'Mapa final'!$L$36="Mayor"),CONCATENATE("R",'Mapa final'!$A$36),"")</f>
        <v/>
      </c>
      <c r="AE40" s="244"/>
      <c r="AF40" s="247" t="str">
        <f>IF(AND('Mapa final'!$H$41="Muy Baja",'Mapa final'!$L$41="Mayor"),CONCATENATE("R",'Mapa final'!$A$41),"")</f>
        <v/>
      </c>
      <c r="AG40" s="232"/>
      <c r="AH40" s="248" t="str">
        <f>IF(AND('Mapa final'!$H$31="Muy Baja",'Mapa final'!$L$31="Catastrófico"),CONCATENATE("R",'Mapa final'!$A$31),"")</f>
        <v/>
      </c>
      <c r="AI40" s="244"/>
      <c r="AJ40" s="249" t="str">
        <f>IF(AND('Mapa final'!$H$36="Muy Baja",'Mapa final'!$L$36="Catastrófico"),CONCATENATE("R",'Mapa final'!$A$36),"")</f>
        <v/>
      </c>
      <c r="AK40" s="244"/>
      <c r="AL40" s="249" t="str">
        <f>IF(AND('Mapa final'!$H$41="Muy Baja",'Mapa final'!$L$41="Catastrófico"),CONCATENATE("R",'Mapa final'!$A$41),"")</f>
        <v/>
      </c>
      <c r="AM40" s="232"/>
      <c r="AN40" s="1"/>
      <c r="AO40" s="1"/>
      <c r="AP40" s="1"/>
      <c r="AQ40" s="1"/>
      <c r="AR40" s="1"/>
      <c r="AS40" s="1"/>
      <c r="AT40" s="1"/>
    </row>
    <row r="41" spans="2:46" ht="15.75" customHeight="1" x14ac:dyDescent="0.35">
      <c r="B41" s="263"/>
      <c r="C41" s="218"/>
      <c r="D41" s="219"/>
      <c r="E41" s="230"/>
      <c r="F41" s="218"/>
      <c r="G41" s="218"/>
      <c r="H41" s="218"/>
      <c r="I41" s="219"/>
      <c r="J41" s="240"/>
      <c r="K41" s="237"/>
      <c r="L41" s="233"/>
      <c r="M41" s="237"/>
      <c r="N41" s="233"/>
      <c r="O41" s="234"/>
      <c r="P41" s="240"/>
      <c r="Q41" s="237"/>
      <c r="R41" s="233"/>
      <c r="S41" s="237"/>
      <c r="T41" s="233"/>
      <c r="U41" s="234"/>
      <c r="V41" s="240"/>
      <c r="W41" s="237"/>
      <c r="X41" s="233"/>
      <c r="Y41" s="237"/>
      <c r="Z41" s="233"/>
      <c r="AA41" s="234"/>
      <c r="AB41" s="240"/>
      <c r="AC41" s="237"/>
      <c r="AD41" s="233"/>
      <c r="AE41" s="237"/>
      <c r="AF41" s="233"/>
      <c r="AG41" s="234"/>
      <c r="AH41" s="240"/>
      <c r="AI41" s="237"/>
      <c r="AJ41" s="233"/>
      <c r="AK41" s="237"/>
      <c r="AL41" s="233"/>
      <c r="AM41" s="234"/>
      <c r="AN41" s="1"/>
      <c r="AO41" s="1"/>
      <c r="AP41" s="1"/>
      <c r="AQ41" s="1"/>
      <c r="AR41" s="1"/>
      <c r="AS41" s="1"/>
      <c r="AT41" s="1"/>
    </row>
    <row r="42" spans="2:46" ht="15.75" customHeight="1" x14ac:dyDescent="0.35">
      <c r="B42" s="263"/>
      <c r="C42" s="218"/>
      <c r="D42" s="219"/>
      <c r="E42" s="230"/>
      <c r="F42" s="218"/>
      <c r="G42" s="218"/>
      <c r="H42" s="218"/>
      <c r="I42" s="219"/>
      <c r="J42" s="259" t="e">
        <f>IF(AND('Mapa final'!#REF!="Muy Baja",'Mapa final'!#REF!="Leve"),CONCATENATE("R",'Mapa final'!#REF!),"")</f>
        <v>#REF!</v>
      </c>
      <c r="K42" s="244"/>
      <c r="L42" s="243" t="e">
        <f>IF(AND('Mapa final'!#REF!="Muy Baja",'Mapa final'!#REF!="Leve"),CONCATENATE("R",'Mapa final'!#REF!),"")</f>
        <v>#REF!</v>
      </c>
      <c r="M42" s="244"/>
      <c r="N42" s="243" t="e">
        <f>IF(AND('Mapa final'!#REF!="Muy Baja",'Mapa final'!#REF!="Leve"),CONCATENATE("R",'Mapa final'!#REF!),"")</f>
        <v>#REF!</v>
      </c>
      <c r="O42" s="232"/>
      <c r="P42" s="259" t="e">
        <f>IF(AND('Mapa final'!#REF!="Muy Baja",'Mapa final'!#REF!="Menor"),CONCATENATE("R",'Mapa final'!#REF!),"")</f>
        <v>#REF!</v>
      </c>
      <c r="Q42" s="244"/>
      <c r="R42" s="243" t="e">
        <f>IF(AND('Mapa final'!#REF!="Muy Baja",'Mapa final'!#REF!="Menor"),CONCATENATE("R",'Mapa final'!#REF!),"")</f>
        <v>#REF!</v>
      </c>
      <c r="S42" s="244"/>
      <c r="T42" s="243" t="e">
        <f>IF(AND('Mapa final'!#REF!="Muy Baja",'Mapa final'!#REF!="Menor"),CONCATENATE("R",'Mapa final'!#REF!),"")</f>
        <v>#REF!</v>
      </c>
      <c r="U42" s="232"/>
      <c r="V42" s="245" t="e">
        <f>IF(AND('Mapa final'!#REF!="Muy Baja",'Mapa final'!#REF!="Moderado"),CONCATENATE("R",'Mapa final'!#REF!),"")</f>
        <v>#REF!</v>
      </c>
      <c r="W42" s="244"/>
      <c r="X42" s="231" t="e">
        <f>IF(AND('Mapa final'!#REF!="Muy Baja",'Mapa final'!#REF!="Moderado"),CONCATENATE("R",'Mapa final'!#REF!),"")</f>
        <v>#REF!</v>
      </c>
      <c r="Y42" s="244"/>
      <c r="Z42" s="231" t="e">
        <f>IF(AND('Mapa final'!#REF!="Muy Baja",'Mapa final'!#REF!="Moderado"),CONCATENATE("R",'Mapa final'!#REF!),"")</f>
        <v>#REF!</v>
      </c>
      <c r="AA42" s="232"/>
      <c r="AB42" s="246" t="e">
        <f>IF(AND('Mapa final'!#REF!="Muy Baja",'Mapa final'!#REF!="Mayor"),CONCATENATE("R",'Mapa final'!#REF!),"")</f>
        <v>#REF!</v>
      </c>
      <c r="AC42" s="244"/>
      <c r="AD42" s="247" t="e">
        <f>IF(AND('Mapa final'!#REF!="Muy Baja",'Mapa final'!#REF!="Mayor"),CONCATENATE("R",'Mapa final'!#REF!),"")</f>
        <v>#REF!</v>
      </c>
      <c r="AE42" s="244"/>
      <c r="AF42" s="247" t="e">
        <f>IF(AND('Mapa final'!#REF!="Muy Baja",'Mapa final'!#REF!="Mayor"),CONCATENATE("R",'Mapa final'!#REF!),"")</f>
        <v>#REF!</v>
      </c>
      <c r="AG42" s="232"/>
      <c r="AH42" s="248" t="e">
        <f>IF(AND('Mapa final'!#REF!="Muy Baja",'Mapa final'!#REF!="Catastrófico"),CONCATENATE("R",'Mapa final'!#REF!),"")</f>
        <v>#REF!</v>
      </c>
      <c r="AI42" s="244"/>
      <c r="AJ42" s="249" t="e">
        <f>IF(AND('Mapa final'!#REF!="Muy Baja",'Mapa final'!#REF!="Catastrófico"),CONCATENATE("R",'Mapa final'!#REF!),"")</f>
        <v>#REF!</v>
      </c>
      <c r="AK42" s="244"/>
      <c r="AL42" s="249" t="e">
        <f>IF(AND('Mapa final'!#REF!="Muy Baja",'Mapa final'!#REF!="Catastrófico"),CONCATENATE("R",'Mapa final'!#REF!),"")</f>
        <v>#REF!</v>
      </c>
      <c r="AM42" s="232"/>
      <c r="AN42" s="1"/>
      <c r="AO42" s="1"/>
      <c r="AP42" s="1"/>
      <c r="AQ42" s="1"/>
      <c r="AR42" s="1"/>
      <c r="AS42" s="1"/>
      <c r="AT42" s="1"/>
    </row>
    <row r="43" spans="2:46" ht="15.75" customHeight="1" x14ac:dyDescent="0.35">
      <c r="B43" s="263"/>
      <c r="C43" s="218"/>
      <c r="D43" s="219"/>
      <c r="E43" s="230"/>
      <c r="F43" s="218"/>
      <c r="G43" s="218"/>
      <c r="H43" s="218"/>
      <c r="I43" s="219"/>
      <c r="J43" s="240"/>
      <c r="K43" s="237"/>
      <c r="L43" s="233"/>
      <c r="M43" s="237"/>
      <c r="N43" s="233"/>
      <c r="O43" s="234"/>
      <c r="P43" s="240"/>
      <c r="Q43" s="237"/>
      <c r="R43" s="233"/>
      <c r="S43" s="237"/>
      <c r="T43" s="233"/>
      <c r="U43" s="234"/>
      <c r="V43" s="240"/>
      <c r="W43" s="237"/>
      <c r="X43" s="233"/>
      <c r="Y43" s="237"/>
      <c r="Z43" s="233"/>
      <c r="AA43" s="234"/>
      <c r="AB43" s="240"/>
      <c r="AC43" s="237"/>
      <c r="AD43" s="233"/>
      <c r="AE43" s="237"/>
      <c r="AF43" s="233"/>
      <c r="AG43" s="234"/>
      <c r="AH43" s="240"/>
      <c r="AI43" s="237"/>
      <c r="AJ43" s="233"/>
      <c r="AK43" s="237"/>
      <c r="AL43" s="233"/>
      <c r="AM43" s="234"/>
      <c r="AN43" s="1"/>
      <c r="AO43" s="1"/>
      <c r="AP43" s="1"/>
      <c r="AQ43" s="1"/>
      <c r="AR43" s="1"/>
      <c r="AS43" s="1"/>
      <c r="AT43" s="1"/>
    </row>
    <row r="44" spans="2:46" ht="15.75" customHeight="1" x14ac:dyDescent="0.35">
      <c r="B44" s="263"/>
      <c r="C44" s="218"/>
      <c r="D44" s="219"/>
      <c r="E44" s="230"/>
      <c r="F44" s="218"/>
      <c r="G44" s="218"/>
      <c r="H44" s="218"/>
      <c r="I44" s="219"/>
      <c r="J44" s="259" t="e">
        <f>IF(AND('Mapa final'!#REF!="Muy Baja",'Mapa final'!#REF!="Leve"),CONCATENATE("R",'Mapa final'!#REF!),"")</f>
        <v>#REF!</v>
      </c>
      <c r="K44" s="244"/>
      <c r="L44" s="243" t="str">
        <f>IF(AND('Mapa final'!$H$46="Muy Baja",'Mapa final'!$L$46="Leve"),CONCATENATE("R",'Mapa final'!$A$46),"")</f>
        <v/>
      </c>
      <c r="M44" s="244"/>
      <c r="N44" s="243" t="str">
        <f>IF(AND('Mapa final'!$H$52="Muy Baja",'Mapa final'!$L$52="Leve"),CONCATENATE("R",'Mapa final'!$A$52),"")</f>
        <v/>
      </c>
      <c r="O44" s="232"/>
      <c r="P44" s="259" t="e">
        <f>IF(AND('Mapa final'!#REF!="Muy Baja",'Mapa final'!#REF!="Menor"),CONCATENATE("R",'Mapa final'!#REF!),"")</f>
        <v>#REF!</v>
      </c>
      <c r="Q44" s="244"/>
      <c r="R44" s="243" t="str">
        <f>IF(AND('Mapa final'!$H$46="Muy Baja",'Mapa final'!$L$46="Menor"),CONCATENATE("R",'Mapa final'!$A$46),"")</f>
        <v/>
      </c>
      <c r="S44" s="244"/>
      <c r="T44" s="243" t="str">
        <f>IF(AND('Mapa final'!$H$52="Muy Baja",'Mapa final'!$L$52="Menor"),CONCATENATE("R",'Mapa final'!$A$52),"")</f>
        <v/>
      </c>
      <c r="U44" s="232"/>
      <c r="V44" s="245" t="e">
        <f>IF(AND('Mapa final'!#REF!="Muy Baja",'Mapa final'!#REF!="Moderado"),CONCATENATE("R",'Mapa final'!#REF!),"")</f>
        <v>#REF!</v>
      </c>
      <c r="W44" s="244"/>
      <c r="X44" s="231" t="str">
        <f>IF(AND('Mapa final'!$H$46="Muy Baja",'Mapa final'!$L$46="Moderado"),CONCATENATE("R",'Mapa final'!$A$46),"")</f>
        <v/>
      </c>
      <c r="Y44" s="244"/>
      <c r="Z44" s="231" t="str">
        <f>IF(AND('Mapa final'!$H$52="Muy Baja",'Mapa final'!$L$52="Moderado"),CONCATENATE("R",'Mapa final'!$A$52),"")</f>
        <v/>
      </c>
      <c r="AA44" s="232"/>
      <c r="AB44" s="246" t="e">
        <f>IF(AND('Mapa final'!#REF!="Muy Baja",'Mapa final'!#REF!="Mayor"),CONCATENATE("R",'Mapa final'!#REF!),"")</f>
        <v>#REF!</v>
      </c>
      <c r="AC44" s="244"/>
      <c r="AD44" s="247" t="str">
        <f>IF(AND('Mapa final'!$H$46="Muy Baja",'Mapa final'!$L$46="Mayor"),CONCATENATE("R",'Mapa final'!$A$46),"")</f>
        <v/>
      </c>
      <c r="AE44" s="244"/>
      <c r="AF44" s="247" t="str">
        <f>IF(AND('Mapa final'!$H$52="Muy Baja",'Mapa final'!$L$52="Mayor"),CONCATENATE("R",'Mapa final'!$A$52),"")</f>
        <v/>
      </c>
      <c r="AG44" s="232"/>
      <c r="AH44" s="248" t="e">
        <f>IF(AND('Mapa final'!#REF!="Muy Baja",'Mapa final'!#REF!="Catastrófico"),CONCATENATE("R",'Mapa final'!#REF!),"")</f>
        <v>#REF!</v>
      </c>
      <c r="AI44" s="244"/>
      <c r="AJ44" s="249" t="str">
        <f>IF(AND('Mapa final'!$H$46="Muy Baja",'Mapa final'!$L$46="Catastrófico"),CONCATENATE("R",'Mapa final'!$A$46),"")</f>
        <v/>
      </c>
      <c r="AK44" s="244"/>
      <c r="AL44" s="249" t="str">
        <f>IF(AND('Mapa final'!$H$52="Muy Baja",'Mapa final'!$L$52="Catastrófico"),CONCATENATE("R",'Mapa final'!$A$52),"")</f>
        <v/>
      </c>
      <c r="AM44" s="232"/>
      <c r="AN44" s="1"/>
      <c r="AO44" s="1"/>
      <c r="AP44" s="1"/>
      <c r="AQ44" s="1"/>
      <c r="AR44" s="1"/>
      <c r="AS44" s="1"/>
      <c r="AT44" s="1"/>
    </row>
    <row r="45" spans="2:46" ht="15.75" customHeight="1" x14ac:dyDescent="0.35">
      <c r="B45" s="233"/>
      <c r="C45" s="265"/>
      <c r="D45" s="234"/>
      <c r="E45" s="253"/>
      <c r="F45" s="254"/>
      <c r="G45" s="254"/>
      <c r="H45" s="254"/>
      <c r="I45" s="257"/>
      <c r="J45" s="253"/>
      <c r="K45" s="255"/>
      <c r="L45" s="256"/>
      <c r="M45" s="255"/>
      <c r="N45" s="256"/>
      <c r="O45" s="257"/>
      <c r="P45" s="253"/>
      <c r="Q45" s="255"/>
      <c r="R45" s="256"/>
      <c r="S45" s="255"/>
      <c r="T45" s="256"/>
      <c r="U45" s="257"/>
      <c r="V45" s="253"/>
      <c r="W45" s="255"/>
      <c r="X45" s="256"/>
      <c r="Y45" s="255"/>
      <c r="Z45" s="256"/>
      <c r="AA45" s="257"/>
      <c r="AB45" s="253"/>
      <c r="AC45" s="255"/>
      <c r="AD45" s="256"/>
      <c r="AE45" s="255"/>
      <c r="AF45" s="256"/>
      <c r="AG45" s="257"/>
      <c r="AH45" s="253"/>
      <c r="AI45" s="255"/>
      <c r="AJ45" s="256"/>
      <c r="AK45" s="255"/>
      <c r="AL45" s="256"/>
      <c r="AM45" s="257"/>
      <c r="AN45" s="1"/>
      <c r="AO45" s="1"/>
      <c r="AP45" s="1"/>
      <c r="AQ45" s="1"/>
      <c r="AR45" s="1"/>
      <c r="AS45" s="1"/>
      <c r="AT45" s="1"/>
    </row>
    <row r="46" spans="2:46" ht="15.75" customHeight="1" x14ac:dyDescent="0.35">
      <c r="B46" s="1"/>
      <c r="C46" s="1"/>
      <c r="D46" s="1"/>
      <c r="E46" s="1"/>
      <c r="F46" s="1"/>
      <c r="G46" s="1"/>
      <c r="H46" s="1"/>
      <c r="I46" s="1"/>
      <c r="J46" s="251" t="s">
        <v>104</v>
      </c>
      <c r="K46" s="252"/>
      <c r="L46" s="252"/>
      <c r="M46" s="252"/>
      <c r="N46" s="252"/>
      <c r="O46" s="238"/>
      <c r="P46" s="251" t="s">
        <v>105</v>
      </c>
      <c r="Q46" s="252"/>
      <c r="R46" s="252"/>
      <c r="S46" s="252"/>
      <c r="T46" s="252"/>
      <c r="U46" s="238"/>
      <c r="V46" s="251" t="s">
        <v>106</v>
      </c>
      <c r="W46" s="252"/>
      <c r="X46" s="252"/>
      <c r="Y46" s="252"/>
      <c r="Z46" s="252"/>
      <c r="AA46" s="238"/>
      <c r="AB46" s="251" t="s">
        <v>107</v>
      </c>
      <c r="AC46" s="252"/>
      <c r="AD46" s="252"/>
      <c r="AE46" s="252"/>
      <c r="AF46" s="252"/>
      <c r="AG46" s="238"/>
      <c r="AH46" s="251" t="s">
        <v>108</v>
      </c>
      <c r="AI46" s="252"/>
      <c r="AJ46" s="252"/>
      <c r="AK46" s="252"/>
      <c r="AL46" s="252"/>
      <c r="AM46" s="238"/>
      <c r="AN46" s="1"/>
      <c r="AO46" s="1"/>
      <c r="AP46" s="1"/>
      <c r="AQ46" s="1"/>
      <c r="AR46" s="1"/>
      <c r="AS46" s="1"/>
      <c r="AT46" s="1"/>
    </row>
    <row r="47" spans="2:46" ht="15.75" customHeight="1" x14ac:dyDescent="0.35">
      <c r="B47" s="1"/>
      <c r="C47" s="1"/>
      <c r="D47" s="1"/>
      <c r="E47" s="1"/>
      <c r="F47" s="1"/>
      <c r="G47" s="1"/>
      <c r="H47" s="1"/>
      <c r="I47" s="1"/>
      <c r="J47" s="230"/>
      <c r="K47" s="218"/>
      <c r="L47" s="218"/>
      <c r="M47" s="218"/>
      <c r="N47" s="218"/>
      <c r="O47" s="219"/>
      <c r="P47" s="230"/>
      <c r="Q47" s="218"/>
      <c r="R47" s="218"/>
      <c r="S47" s="218"/>
      <c r="T47" s="218"/>
      <c r="U47" s="219"/>
      <c r="V47" s="230"/>
      <c r="W47" s="218"/>
      <c r="X47" s="218"/>
      <c r="Y47" s="218"/>
      <c r="Z47" s="218"/>
      <c r="AA47" s="219"/>
      <c r="AB47" s="230"/>
      <c r="AC47" s="218"/>
      <c r="AD47" s="218"/>
      <c r="AE47" s="218"/>
      <c r="AF47" s="218"/>
      <c r="AG47" s="219"/>
      <c r="AH47" s="230"/>
      <c r="AI47" s="218"/>
      <c r="AJ47" s="218"/>
      <c r="AK47" s="218"/>
      <c r="AL47" s="218"/>
      <c r="AM47" s="219"/>
      <c r="AN47" s="1"/>
      <c r="AO47" s="1"/>
      <c r="AP47" s="1"/>
      <c r="AQ47" s="1"/>
      <c r="AR47" s="1"/>
      <c r="AS47" s="1"/>
      <c r="AT47" s="1"/>
    </row>
    <row r="48" spans="2:46" ht="15.75" customHeight="1" x14ac:dyDescent="0.35">
      <c r="B48" s="1"/>
      <c r="C48" s="1"/>
      <c r="D48" s="1"/>
      <c r="E48" s="1"/>
      <c r="F48" s="1"/>
      <c r="G48" s="1"/>
      <c r="H48" s="1"/>
      <c r="I48" s="1"/>
      <c r="J48" s="230"/>
      <c r="K48" s="218"/>
      <c r="L48" s="218"/>
      <c r="M48" s="218"/>
      <c r="N48" s="218"/>
      <c r="O48" s="219"/>
      <c r="P48" s="230"/>
      <c r="Q48" s="218"/>
      <c r="R48" s="218"/>
      <c r="S48" s="218"/>
      <c r="T48" s="218"/>
      <c r="U48" s="219"/>
      <c r="V48" s="230"/>
      <c r="W48" s="218"/>
      <c r="X48" s="218"/>
      <c r="Y48" s="218"/>
      <c r="Z48" s="218"/>
      <c r="AA48" s="219"/>
      <c r="AB48" s="230"/>
      <c r="AC48" s="218"/>
      <c r="AD48" s="218"/>
      <c r="AE48" s="218"/>
      <c r="AF48" s="218"/>
      <c r="AG48" s="219"/>
      <c r="AH48" s="230"/>
      <c r="AI48" s="218"/>
      <c r="AJ48" s="218"/>
      <c r="AK48" s="218"/>
      <c r="AL48" s="218"/>
      <c r="AM48" s="219"/>
      <c r="AN48" s="1"/>
      <c r="AO48" s="1"/>
      <c r="AP48" s="1"/>
      <c r="AQ48" s="1"/>
      <c r="AR48" s="1"/>
      <c r="AS48" s="1"/>
      <c r="AT48" s="1"/>
    </row>
    <row r="49" spans="2:39" ht="15.75" customHeight="1" x14ac:dyDescent="0.35">
      <c r="B49" s="1"/>
      <c r="C49" s="1"/>
      <c r="D49" s="1"/>
      <c r="E49" s="1"/>
      <c r="F49" s="1"/>
      <c r="G49" s="1"/>
      <c r="H49" s="1"/>
      <c r="I49" s="1"/>
      <c r="J49" s="230"/>
      <c r="K49" s="218"/>
      <c r="L49" s="218"/>
      <c r="M49" s="218"/>
      <c r="N49" s="218"/>
      <c r="O49" s="219"/>
      <c r="P49" s="230"/>
      <c r="Q49" s="218"/>
      <c r="R49" s="218"/>
      <c r="S49" s="218"/>
      <c r="T49" s="218"/>
      <c r="U49" s="219"/>
      <c r="V49" s="230"/>
      <c r="W49" s="218"/>
      <c r="X49" s="218"/>
      <c r="Y49" s="218"/>
      <c r="Z49" s="218"/>
      <c r="AA49" s="219"/>
      <c r="AB49" s="230"/>
      <c r="AC49" s="218"/>
      <c r="AD49" s="218"/>
      <c r="AE49" s="218"/>
      <c r="AF49" s="218"/>
      <c r="AG49" s="219"/>
      <c r="AH49" s="230"/>
      <c r="AI49" s="218"/>
      <c r="AJ49" s="218"/>
      <c r="AK49" s="218"/>
      <c r="AL49" s="218"/>
      <c r="AM49" s="219"/>
    </row>
    <row r="50" spans="2:39" ht="15.75" customHeight="1" x14ac:dyDescent="0.35">
      <c r="B50" s="1"/>
      <c r="C50" s="1"/>
      <c r="D50" s="1"/>
      <c r="E50" s="1"/>
      <c r="F50" s="1"/>
      <c r="G50" s="1"/>
      <c r="H50" s="1"/>
      <c r="I50" s="1"/>
      <c r="J50" s="230"/>
      <c r="K50" s="218"/>
      <c r="L50" s="218"/>
      <c r="M50" s="218"/>
      <c r="N50" s="218"/>
      <c r="O50" s="219"/>
      <c r="P50" s="230"/>
      <c r="Q50" s="218"/>
      <c r="R50" s="218"/>
      <c r="S50" s="218"/>
      <c r="T50" s="218"/>
      <c r="U50" s="219"/>
      <c r="V50" s="230"/>
      <c r="W50" s="218"/>
      <c r="X50" s="218"/>
      <c r="Y50" s="218"/>
      <c r="Z50" s="218"/>
      <c r="AA50" s="219"/>
      <c r="AB50" s="230"/>
      <c r="AC50" s="218"/>
      <c r="AD50" s="218"/>
      <c r="AE50" s="218"/>
      <c r="AF50" s="218"/>
      <c r="AG50" s="219"/>
      <c r="AH50" s="230"/>
      <c r="AI50" s="218"/>
      <c r="AJ50" s="218"/>
      <c r="AK50" s="218"/>
      <c r="AL50" s="218"/>
      <c r="AM50" s="219"/>
    </row>
    <row r="51" spans="2:39" ht="15.75" customHeight="1" x14ac:dyDescent="0.35">
      <c r="B51" s="1"/>
      <c r="C51" s="1"/>
      <c r="D51" s="1"/>
      <c r="E51" s="1"/>
      <c r="F51" s="1"/>
      <c r="G51" s="1"/>
      <c r="H51" s="1"/>
      <c r="I51" s="1"/>
      <c r="J51" s="253"/>
      <c r="K51" s="254"/>
      <c r="L51" s="254"/>
      <c r="M51" s="254"/>
      <c r="N51" s="254"/>
      <c r="O51" s="257"/>
      <c r="P51" s="253"/>
      <c r="Q51" s="254"/>
      <c r="R51" s="254"/>
      <c r="S51" s="254"/>
      <c r="T51" s="254"/>
      <c r="U51" s="257"/>
      <c r="V51" s="253"/>
      <c r="W51" s="254"/>
      <c r="X51" s="254"/>
      <c r="Y51" s="254"/>
      <c r="Z51" s="254"/>
      <c r="AA51" s="257"/>
      <c r="AB51" s="253"/>
      <c r="AC51" s="254"/>
      <c r="AD51" s="254"/>
      <c r="AE51" s="254"/>
      <c r="AF51" s="254"/>
      <c r="AG51" s="257"/>
      <c r="AH51" s="253"/>
      <c r="AI51" s="254"/>
      <c r="AJ51" s="254"/>
      <c r="AK51" s="254"/>
      <c r="AL51" s="254"/>
      <c r="AM51" s="257"/>
    </row>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21" zoomScale="50" zoomScaleNormal="50" workbookViewId="0">
      <selection activeCell="T46" sqref="T46"/>
    </sheetView>
  </sheetViews>
  <sheetFormatPr baseColWidth="10" defaultColWidth="12.58203125" defaultRowHeight="15" customHeight="1" x14ac:dyDescent="0.3"/>
  <cols>
    <col min="1" max="1" width="9.33203125" customWidth="1"/>
    <col min="2" max="18" width="5" customWidth="1"/>
    <col min="19" max="19" width="7.33203125" customWidth="1"/>
    <col min="20" max="23" width="5" customWidth="1"/>
    <col min="24" max="24" width="7.5" customWidth="1"/>
    <col min="25" max="26" width="5" customWidth="1"/>
    <col min="27" max="27" width="9.33203125" customWidth="1"/>
    <col min="28" max="28" width="5" customWidth="1"/>
    <col min="29" max="29" width="6.5" customWidth="1"/>
    <col min="30" max="33" width="5" customWidth="1"/>
    <col min="34" max="34" width="7.5" customWidth="1"/>
    <col min="35" max="39" width="5" customWidth="1"/>
    <col min="40" max="40" width="9.33203125" customWidth="1"/>
    <col min="41" max="46" width="5" customWidth="1"/>
    <col min="47" max="61" width="9.33203125" customWidth="1"/>
  </cols>
  <sheetData>
    <row r="2" spans="2:46" ht="18" customHeight="1" x14ac:dyDescent="0.35">
      <c r="B2" s="280" t="s">
        <v>109</v>
      </c>
      <c r="C2" s="218"/>
      <c r="D2" s="218"/>
      <c r="E2" s="218"/>
      <c r="F2" s="218"/>
      <c r="G2" s="218"/>
      <c r="H2" s="218"/>
      <c r="I2" s="218"/>
      <c r="J2" s="261" t="s">
        <v>15</v>
      </c>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44"/>
      <c r="AN2" s="1"/>
      <c r="AO2" s="1"/>
      <c r="AP2" s="1"/>
      <c r="AQ2" s="1"/>
      <c r="AR2" s="1"/>
      <c r="AS2" s="1"/>
      <c r="AT2" s="1"/>
    </row>
    <row r="3" spans="2:46" ht="18.75" customHeight="1" x14ac:dyDescent="0.35">
      <c r="B3" s="218"/>
      <c r="C3" s="218"/>
      <c r="D3" s="218"/>
      <c r="E3" s="218"/>
      <c r="F3" s="218"/>
      <c r="G3" s="218"/>
      <c r="H3" s="218"/>
      <c r="I3" s="218"/>
      <c r="J3" s="263"/>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64"/>
      <c r="AN3" s="1"/>
      <c r="AO3" s="1"/>
      <c r="AP3" s="1"/>
      <c r="AQ3" s="1"/>
      <c r="AR3" s="1"/>
      <c r="AS3" s="1"/>
      <c r="AT3" s="1"/>
    </row>
    <row r="4" spans="2:46" ht="15" customHeight="1" x14ac:dyDescent="0.35">
      <c r="B4" s="218"/>
      <c r="C4" s="218"/>
      <c r="D4" s="218"/>
      <c r="E4" s="218"/>
      <c r="F4" s="218"/>
      <c r="G4" s="218"/>
      <c r="H4" s="218"/>
      <c r="I4" s="218"/>
      <c r="J4" s="233"/>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37"/>
      <c r="AN4" s="1"/>
      <c r="AO4" s="1"/>
      <c r="AP4" s="1"/>
      <c r="AQ4" s="1"/>
      <c r="AR4" s="1"/>
      <c r="AS4" s="1"/>
      <c r="AT4" s="1"/>
    </row>
    <row r="5" spans="2:46" ht="14.5" x14ac:dyDescent="0.3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35">
      <c r="B6" s="266" t="s">
        <v>94</v>
      </c>
      <c r="C6" s="262"/>
      <c r="D6" s="232"/>
      <c r="E6" s="281" t="s">
        <v>95</v>
      </c>
      <c r="F6" s="252"/>
      <c r="G6" s="252"/>
      <c r="H6" s="252"/>
      <c r="I6" s="238"/>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84" t="s">
        <v>96</v>
      </c>
      <c r="AP6" s="270"/>
      <c r="AQ6" s="270"/>
      <c r="AR6" s="270"/>
      <c r="AS6" s="270"/>
      <c r="AT6" s="271"/>
    </row>
    <row r="7" spans="2:46" ht="15" customHeight="1" x14ac:dyDescent="0.35">
      <c r="B7" s="263"/>
      <c r="C7" s="218"/>
      <c r="D7" s="219"/>
      <c r="E7" s="230"/>
      <c r="F7" s="218"/>
      <c r="G7" s="218"/>
      <c r="H7" s="218"/>
      <c r="I7" s="219"/>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72"/>
      <c r="AP7" s="218"/>
      <c r="AQ7" s="218"/>
      <c r="AR7" s="218"/>
      <c r="AS7" s="218"/>
      <c r="AT7" s="273"/>
    </row>
    <row r="8" spans="2:46" ht="15" customHeight="1" x14ac:dyDescent="0.35">
      <c r="B8" s="263"/>
      <c r="C8" s="218"/>
      <c r="D8" s="219"/>
      <c r="E8" s="230"/>
      <c r="F8" s="218"/>
      <c r="G8" s="218"/>
      <c r="H8" s="218"/>
      <c r="I8" s="219"/>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72"/>
      <c r="AP8" s="218"/>
      <c r="AQ8" s="218"/>
      <c r="AR8" s="218"/>
      <c r="AS8" s="218"/>
      <c r="AT8" s="273"/>
    </row>
    <row r="9" spans="2:46" ht="15" customHeight="1" x14ac:dyDescent="0.35">
      <c r="B9" s="263"/>
      <c r="C9" s="218"/>
      <c r="D9" s="219"/>
      <c r="E9" s="230"/>
      <c r="F9" s="218"/>
      <c r="G9" s="218"/>
      <c r="H9" s="218"/>
      <c r="I9" s="219"/>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72"/>
      <c r="AP9" s="218"/>
      <c r="AQ9" s="218"/>
      <c r="AR9" s="218"/>
      <c r="AS9" s="218"/>
      <c r="AT9" s="273"/>
    </row>
    <row r="10" spans="2:46" ht="15" customHeight="1" x14ac:dyDescent="0.35">
      <c r="B10" s="263"/>
      <c r="C10" s="218"/>
      <c r="D10" s="219"/>
      <c r="E10" s="230"/>
      <c r="F10" s="218"/>
      <c r="G10" s="218"/>
      <c r="H10" s="218"/>
      <c r="I10" s="219"/>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72"/>
      <c r="AP10" s="218"/>
      <c r="AQ10" s="218"/>
      <c r="AR10" s="218"/>
      <c r="AS10" s="218"/>
      <c r="AT10" s="273"/>
    </row>
    <row r="11" spans="2:46" ht="15" customHeight="1" x14ac:dyDescent="0.35">
      <c r="B11" s="263"/>
      <c r="C11" s="218"/>
      <c r="D11" s="219"/>
      <c r="E11" s="230"/>
      <c r="F11" s="218"/>
      <c r="G11" s="218"/>
      <c r="H11" s="218"/>
      <c r="I11" s="219"/>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72"/>
      <c r="AP11" s="218"/>
      <c r="AQ11" s="218"/>
      <c r="AR11" s="218"/>
      <c r="AS11" s="218"/>
      <c r="AT11" s="273"/>
    </row>
    <row r="12" spans="2:46" ht="15" customHeight="1" x14ac:dyDescent="0.35">
      <c r="B12" s="263"/>
      <c r="C12" s="218"/>
      <c r="D12" s="219"/>
      <c r="E12" s="230"/>
      <c r="F12" s="218"/>
      <c r="G12" s="218"/>
      <c r="H12" s="218"/>
      <c r="I12" s="219"/>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72"/>
      <c r="AP12" s="218"/>
      <c r="AQ12" s="218"/>
      <c r="AR12" s="218"/>
      <c r="AS12" s="218"/>
      <c r="AT12" s="273"/>
    </row>
    <row r="13" spans="2:46" ht="15" customHeight="1" x14ac:dyDescent="0.35">
      <c r="B13" s="263"/>
      <c r="C13" s="218"/>
      <c r="D13" s="219"/>
      <c r="E13" s="230"/>
      <c r="F13" s="218"/>
      <c r="G13" s="218"/>
      <c r="H13" s="218"/>
      <c r="I13" s="219"/>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72"/>
      <c r="AP13" s="218"/>
      <c r="AQ13" s="218"/>
      <c r="AR13" s="218"/>
      <c r="AS13" s="218"/>
      <c r="AT13" s="273"/>
    </row>
    <row r="14" spans="2:46" ht="15" customHeight="1" x14ac:dyDescent="0.35">
      <c r="B14" s="263"/>
      <c r="C14" s="218"/>
      <c r="D14" s="219"/>
      <c r="E14" s="230"/>
      <c r="F14" s="218"/>
      <c r="G14" s="218"/>
      <c r="H14" s="218"/>
      <c r="I14" s="219"/>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72"/>
      <c r="AP14" s="218"/>
      <c r="AQ14" s="218"/>
      <c r="AR14" s="218"/>
      <c r="AS14" s="218"/>
      <c r="AT14" s="273"/>
    </row>
    <row r="15" spans="2:46" ht="15.75" customHeight="1" x14ac:dyDescent="0.35">
      <c r="B15" s="263"/>
      <c r="C15" s="218"/>
      <c r="D15" s="219"/>
      <c r="E15" s="253"/>
      <c r="F15" s="254"/>
      <c r="G15" s="254"/>
      <c r="H15" s="254"/>
      <c r="I15" s="257"/>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74"/>
      <c r="AP15" s="275"/>
      <c r="AQ15" s="275"/>
      <c r="AR15" s="275"/>
      <c r="AS15" s="275"/>
      <c r="AT15" s="276"/>
    </row>
    <row r="16" spans="2:46" ht="15" customHeight="1" x14ac:dyDescent="0.35">
      <c r="B16" s="263"/>
      <c r="C16" s="218"/>
      <c r="D16" s="219"/>
      <c r="E16" s="281" t="s">
        <v>97</v>
      </c>
      <c r="F16" s="252"/>
      <c r="G16" s="252"/>
      <c r="H16" s="252"/>
      <c r="I16" s="252"/>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82" t="s">
        <v>98</v>
      </c>
      <c r="AP16" s="270"/>
      <c r="AQ16" s="270"/>
      <c r="AR16" s="270"/>
      <c r="AS16" s="270"/>
      <c r="AT16" s="271"/>
    </row>
    <row r="17" spans="2:46" ht="15" customHeight="1" x14ac:dyDescent="0.35">
      <c r="B17" s="263"/>
      <c r="C17" s="218"/>
      <c r="D17" s="219"/>
      <c r="E17" s="230"/>
      <c r="F17" s="218"/>
      <c r="G17" s="218"/>
      <c r="H17" s="218"/>
      <c r="I17" s="218"/>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72"/>
      <c r="AP17" s="218"/>
      <c r="AQ17" s="218"/>
      <c r="AR17" s="218"/>
      <c r="AS17" s="218"/>
      <c r="AT17" s="273"/>
    </row>
    <row r="18" spans="2:46" ht="15" customHeight="1" x14ac:dyDescent="0.35">
      <c r="B18" s="263"/>
      <c r="C18" s="218"/>
      <c r="D18" s="219"/>
      <c r="E18" s="230"/>
      <c r="F18" s="218"/>
      <c r="G18" s="218"/>
      <c r="H18" s="218"/>
      <c r="I18" s="218"/>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72"/>
      <c r="AP18" s="218"/>
      <c r="AQ18" s="218"/>
      <c r="AR18" s="218"/>
      <c r="AS18" s="218"/>
      <c r="AT18" s="273"/>
    </row>
    <row r="19" spans="2:46" ht="15" customHeight="1" x14ac:dyDescent="0.35">
      <c r="B19" s="263"/>
      <c r="C19" s="218"/>
      <c r="D19" s="219"/>
      <c r="E19" s="230"/>
      <c r="F19" s="218"/>
      <c r="G19" s="218"/>
      <c r="H19" s="218"/>
      <c r="I19" s="218"/>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72"/>
      <c r="AP19" s="218"/>
      <c r="AQ19" s="218"/>
      <c r="AR19" s="218"/>
      <c r="AS19" s="218"/>
      <c r="AT19" s="273"/>
    </row>
    <row r="20" spans="2:46" ht="15" customHeight="1" x14ac:dyDescent="0.35">
      <c r="B20" s="263"/>
      <c r="C20" s="218"/>
      <c r="D20" s="219"/>
      <c r="E20" s="230"/>
      <c r="F20" s="218"/>
      <c r="G20" s="218"/>
      <c r="H20" s="218"/>
      <c r="I20" s="218"/>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72"/>
      <c r="AP20" s="218"/>
      <c r="AQ20" s="218"/>
      <c r="AR20" s="218"/>
      <c r="AS20" s="218"/>
      <c r="AT20" s="273"/>
    </row>
    <row r="21" spans="2:46" ht="15" customHeight="1" x14ac:dyDescent="0.35">
      <c r="B21" s="263"/>
      <c r="C21" s="218"/>
      <c r="D21" s="219"/>
      <c r="E21" s="230"/>
      <c r="F21" s="218"/>
      <c r="G21" s="218"/>
      <c r="H21" s="218"/>
      <c r="I21" s="218"/>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72"/>
      <c r="AP21" s="218"/>
      <c r="AQ21" s="218"/>
      <c r="AR21" s="218"/>
      <c r="AS21" s="218"/>
      <c r="AT21" s="273"/>
    </row>
    <row r="22" spans="2:46" ht="15" customHeight="1" x14ac:dyDescent="0.35">
      <c r="B22" s="263"/>
      <c r="C22" s="218"/>
      <c r="D22" s="219"/>
      <c r="E22" s="230"/>
      <c r="F22" s="218"/>
      <c r="G22" s="218"/>
      <c r="H22" s="218"/>
      <c r="I22" s="218"/>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72"/>
      <c r="AP22" s="218"/>
      <c r="AQ22" s="218"/>
      <c r="AR22" s="218"/>
      <c r="AS22" s="218"/>
      <c r="AT22" s="273"/>
    </row>
    <row r="23" spans="2:46" ht="15" customHeight="1" x14ac:dyDescent="0.35">
      <c r="B23" s="263"/>
      <c r="C23" s="218"/>
      <c r="D23" s="219"/>
      <c r="E23" s="230"/>
      <c r="F23" s="218"/>
      <c r="G23" s="218"/>
      <c r="H23" s="218"/>
      <c r="I23" s="218"/>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72"/>
      <c r="AP23" s="218"/>
      <c r="AQ23" s="218"/>
      <c r="AR23" s="218"/>
      <c r="AS23" s="218"/>
      <c r="AT23" s="273"/>
    </row>
    <row r="24" spans="2:46" ht="15" customHeight="1" x14ac:dyDescent="0.35">
      <c r="B24" s="263"/>
      <c r="C24" s="218"/>
      <c r="D24" s="219"/>
      <c r="E24" s="230"/>
      <c r="F24" s="218"/>
      <c r="G24" s="218"/>
      <c r="H24" s="218"/>
      <c r="I24" s="218"/>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72"/>
      <c r="AP24" s="218"/>
      <c r="AQ24" s="218"/>
      <c r="AR24" s="218"/>
      <c r="AS24" s="218"/>
      <c r="AT24" s="273"/>
    </row>
    <row r="25" spans="2:46" ht="15.75" customHeight="1" x14ac:dyDescent="0.35">
      <c r="B25" s="263"/>
      <c r="C25" s="218"/>
      <c r="D25" s="219"/>
      <c r="E25" s="253"/>
      <c r="F25" s="254"/>
      <c r="G25" s="254"/>
      <c r="H25" s="254"/>
      <c r="I25" s="254"/>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74"/>
      <c r="AP25" s="275"/>
      <c r="AQ25" s="275"/>
      <c r="AR25" s="275"/>
      <c r="AS25" s="275"/>
      <c r="AT25" s="276"/>
    </row>
    <row r="26" spans="2:46" ht="15" customHeight="1" x14ac:dyDescent="0.35">
      <c r="B26" s="263"/>
      <c r="C26" s="218"/>
      <c r="D26" s="219"/>
      <c r="E26" s="281" t="s">
        <v>99</v>
      </c>
      <c r="F26" s="252"/>
      <c r="G26" s="252"/>
      <c r="H26" s="252"/>
      <c r="I26" s="238"/>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R1C1</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83" t="s">
        <v>100</v>
      </c>
      <c r="AP26" s="270"/>
      <c r="AQ26" s="270"/>
      <c r="AR26" s="270"/>
      <c r="AS26" s="270"/>
      <c r="AT26" s="271"/>
    </row>
    <row r="27" spans="2:46" ht="15" customHeight="1" x14ac:dyDescent="0.35">
      <c r="B27" s="263"/>
      <c r="C27" s="218"/>
      <c r="D27" s="219"/>
      <c r="E27" s="230"/>
      <c r="F27" s="218"/>
      <c r="G27" s="218"/>
      <c r="H27" s="218"/>
      <c r="I27" s="219"/>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72"/>
      <c r="AP27" s="218"/>
      <c r="AQ27" s="218"/>
      <c r="AR27" s="218"/>
      <c r="AS27" s="218"/>
      <c r="AT27" s="273"/>
    </row>
    <row r="28" spans="2:46" ht="15" customHeight="1" x14ac:dyDescent="0.35">
      <c r="B28" s="263"/>
      <c r="C28" s="218"/>
      <c r="D28" s="219"/>
      <c r="E28" s="230"/>
      <c r="F28" s="218"/>
      <c r="G28" s="218"/>
      <c r="H28" s="218"/>
      <c r="I28" s="219"/>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72"/>
      <c r="AP28" s="218"/>
      <c r="AQ28" s="218"/>
      <c r="AR28" s="218"/>
      <c r="AS28" s="218"/>
      <c r="AT28" s="273"/>
    </row>
    <row r="29" spans="2:46" ht="15" customHeight="1" x14ac:dyDescent="0.35">
      <c r="B29" s="263"/>
      <c r="C29" s="218"/>
      <c r="D29" s="219"/>
      <c r="E29" s="230"/>
      <c r="F29" s="218"/>
      <c r="G29" s="218"/>
      <c r="H29" s="218"/>
      <c r="I29" s="219"/>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72"/>
      <c r="AP29" s="218"/>
      <c r="AQ29" s="218"/>
      <c r="AR29" s="218"/>
      <c r="AS29" s="218"/>
      <c r="AT29" s="273"/>
    </row>
    <row r="30" spans="2:46" ht="15" customHeight="1" x14ac:dyDescent="0.35">
      <c r="B30" s="263"/>
      <c r="C30" s="218"/>
      <c r="D30" s="219"/>
      <c r="E30" s="230"/>
      <c r="F30" s="218"/>
      <c r="G30" s="218"/>
      <c r="H30" s="218"/>
      <c r="I30" s="219"/>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72"/>
      <c r="AP30" s="218"/>
      <c r="AQ30" s="218"/>
      <c r="AR30" s="218"/>
      <c r="AS30" s="218"/>
      <c r="AT30" s="273"/>
    </row>
    <row r="31" spans="2:46" ht="15" customHeight="1" x14ac:dyDescent="0.35">
      <c r="B31" s="263"/>
      <c r="C31" s="218"/>
      <c r="D31" s="219"/>
      <c r="E31" s="230"/>
      <c r="F31" s="218"/>
      <c r="G31" s="218"/>
      <c r="H31" s="218"/>
      <c r="I31" s="219"/>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72"/>
      <c r="AP31" s="218"/>
      <c r="AQ31" s="218"/>
      <c r="AR31" s="218"/>
      <c r="AS31" s="218"/>
      <c r="AT31" s="273"/>
    </row>
    <row r="32" spans="2:46" ht="15" customHeight="1" x14ac:dyDescent="0.35">
      <c r="B32" s="263"/>
      <c r="C32" s="218"/>
      <c r="D32" s="219"/>
      <c r="E32" s="230"/>
      <c r="F32" s="218"/>
      <c r="G32" s="218"/>
      <c r="H32" s="218"/>
      <c r="I32" s="219"/>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72"/>
      <c r="AP32" s="218"/>
      <c r="AQ32" s="218"/>
      <c r="AR32" s="218"/>
      <c r="AS32" s="218"/>
      <c r="AT32" s="273"/>
    </row>
    <row r="33" spans="2:46" ht="15" customHeight="1" x14ac:dyDescent="0.35">
      <c r="B33" s="263"/>
      <c r="C33" s="218"/>
      <c r="D33" s="219"/>
      <c r="E33" s="230"/>
      <c r="F33" s="218"/>
      <c r="G33" s="218"/>
      <c r="H33" s="218"/>
      <c r="I33" s="219"/>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72"/>
      <c r="AP33" s="218"/>
      <c r="AQ33" s="218"/>
      <c r="AR33" s="218"/>
      <c r="AS33" s="218"/>
      <c r="AT33" s="273"/>
    </row>
    <row r="34" spans="2:46" ht="15" customHeight="1" x14ac:dyDescent="0.35">
      <c r="B34" s="263"/>
      <c r="C34" s="218"/>
      <c r="D34" s="219"/>
      <c r="E34" s="230"/>
      <c r="F34" s="218"/>
      <c r="G34" s="218"/>
      <c r="H34" s="218"/>
      <c r="I34" s="219"/>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72"/>
      <c r="AP34" s="218"/>
      <c r="AQ34" s="218"/>
      <c r="AR34" s="218"/>
      <c r="AS34" s="218"/>
      <c r="AT34" s="273"/>
    </row>
    <row r="35" spans="2:46" ht="15.75" customHeight="1" x14ac:dyDescent="0.35">
      <c r="B35" s="263"/>
      <c r="C35" s="218"/>
      <c r="D35" s="219"/>
      <c r="E35" s="253"/>
      <c r="F35" s="254"/>
      <c r="G35" s="254"/>
      <c r="H35" s="254"/>
      <c r="I35" s="257"/>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74"/>
      <c r="AP35" s="275"/>
      <c r="AQ35" s="275"/>
      <c r="AR35" s="275"/>
      <c r="AS35" s="275"/>
      <c r="AT35" s="276"/>
    </row>
    <row r="36" spans="2:46" ht="15" customHeight="1" x14ac:dyDescent="0.35">
      <c r="B36" s="263"/>
      <c r="C36" s="218"/>
      <c r="D36" s="219"/>
      <c r="E36" s="281" t="s">
        <v>101</v>
      </c>
      <c r="F36" s="252"/>
      <c r="G36" s="252"/>
      <c r="H36" s="252"/>
      <c r="I36" s="252"/>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85" t="s">
        <v>102</v>
      </c>
      <c r="AP36" s="270"/>
      <c r="AQ36" s="270"/>
      <c r="AR36" s="270"/>
      <c r="AS36" s="270"/>
      <c r="AT36" s="271"/>
    </row>
    <row r="37" spans="2:46" ht="15" customHeight="1" x14ac:dyDescent="0.35">
      <c r="B37" s="263"/>
      <c r="C37" s="218"/>
      <c r="D37" s="219"/>
      <c r="E37" s="230"/>
      <c r="F37" s="218"/>
      <c r="G37" s="218"/>
      <c r="H37" s="218"/>
      <c r="I37" s="218"/>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
      </c>
      <c r="U37" s="38" t="str">
        <f>IF(AND('Mapa final'!$Y$23="Baja",'Mapa final'!$AA$23="Menor"),CONCATENATE("R2C",'Mapa final'!$O$23),"")</f>
        <v/>
      </c>
      <c r="V37" s="36" t="str">
        <f>IF(AND('Mapa final'!$Y$21="Baja",'Mapa final'!$AA$21="Moderado"),CONCATENATE("R2C",'Mapa final'!$O$21),"")</f>
        <v>R2C1</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72"/>
      <c r="AP37" s="218"/>
      <c r="AQ37" s="218"/>
      <c r="AR37" s="218"/>
      <c r="AS37" s="218"/>
      <c r="AT37" s="273"/>
    </row>
    <row r="38" spans="2:46" ht="15" customHeight="1" x14ac:dyDescent="0.35">
      <c r="B38" s="263"/>
      <c r="C38" s="218"/>
      <c r="D38" s="219"/>
      <c r="E38" s="230"/>
      <c r="F38" s="218"/>
      <c r="G38" s="218"/>
      <c r="H38" s="218"/>
      <c r="I38" s="218"/>
      <c r="J38" s="45" t="str">
        <f>IF(AND('Mapa final'!$Y$26="Baja",'Mapa final'!$AA$26="Leve"),CONCATENATE("R3C",'Mapa final'!$O$26),"")</f>
        <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R3C1</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72"/>
      <c r="AP38" s="218"/>
      <c r="AQ38" s="218"/>
      <c r="AR38" s="218"/>
      <c r="AS38" s="218"/>
      <c r="AT38" s="273"/>
    </row>
    <row r="39" spans="2:46" ht="15" customHeight="1" x14ac:dyDescent="0.35">
      <c r="B39" s="263"/>
      <c r="C39" s="218"/>
      <c r="D39" s="219"/>
      <c r="E39" s="230"/>
      <c r="F39" s="218"/>
      <c r="G39" s="218"/>
      <c r="H39" s="218"/>
      <c r="I39" s="218"/>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72"/>
      <c r="AP39" s="218"/>
      <c r="AQ39" s="218"/>
      <c r="AR39" s="218"/>
      <c r="AS39" s="218"/>
      <c r="AT39" s="273"/>
    </row>
    <row r="40" spans="2:46" ht="15" customHeight="1" x14ac:dyDescent="0.35">
      <c r="B40" s="263"/>
      <c r="C40" s="218"/>
      <c r="D40" s="219"/>
      <c r="E40" s="230"/>
      <c r="F40" s="218"/>
      <c r="G40" s="218"/>
      <c r="H40" s="218"/>
      <c r="I40" s="218"/>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72"/>
      <c r="AP40" s="218"/>
      <c r="AQ40" s="218"/>
      <c r="AR40" s="218"/>
      <c r="AS40" s="218"/>
      <c r="AT40" s="273"/>
    </row>
    <row r="41" spans="2:46" ht="15" customHeight="1" x14ac:dyDescent="0.35">
      <c r="B41" s="263"/>
      <c r="C41" s="218"/>
      <c r="D41" s="219"/>
      <c r="E41" s="230"/>
      <c r="F41" s="218"/>
      <c r="G41" s="218"/>
      <c r="H41" s="218"/>
      <c r="I41" s="218"/>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
      </c>
      <c r="X41" s="37" t="str">
        <f>IF(AND('Mapa final'!$Y$43="Baja",'Mapa final'!$AA$43="Moderado"),CONCATENATE("R6C",'Mapa final'!$O$43),"")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72"/>
      <c r="AP41" s="218"/>
      <c r="AQ41" s="218"/>
      <c r="AR41" s="218"/>
      <c r="AS41" s="218"/>
      <c r="AT41" s="273"/>
    </row>
    <row r="42" spans="2:46" ht="15" customHeight="1" x14ac:dyDescent="0.35">
      <c r="B42" s="263"/>
      <c r="C42" s="218"/>
      <c r="D42" s="219"/>
      <c r="E42" s="230"/>
      <c r="F42" s="218"/>
      <c r="G42" s="218"/>
      <c r="H42" s="218"/>
      <c r="I42" s="218"/>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72"/>
      <c r="AP42" s="218"/>
      <c r="AQ42" s="218"/>
      <c r="AR42" s="218"/>
      <c r="AS42" s="218"/>
      <c r="AT42" s="273"/>
    </row>
    <row r="43" spans="2:46" ht="15" customHeight="1" x14ac:dyDescent="0.35">
      <c r="B43" s="263"/>
      <c r="C43" s="218"/>
      <c r="D43" s="219"/>
      <c r="E43" s="230"/>
      <c r="F43" s="218"/>
      <c r="G43" s="218"/>
      <c r="H43" s="218"/>
      <c r="I43" s="218"/>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72"/>
      <c r="AP43" s="218"/>
      <c r="AQ43" s="218"/>
      <c r="AR43" s="218"/>
      <c r="AS43" s="218"/>
      <c r="AT43" s="273"/>
    </row>
    <row r="44" spans="2:46" ht="15" customHeight="1" x14ac:dyDescent="0.35">
      <c r="B44" s="263"/>
      <c r="C44" s="218"/>
      <c r="D44" s="219"/>
      <c r="E44" s="230"/>
      <c r="F44" s="218"/>
      <c r="G44" s="218"/>
      <c r="H44" s="218"/>
      <c r="I44" s="218"/>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72"/>
      <c r="AP44" s="218"/>
      <c r="AQ44" s="218"/>
      <c r="AR44" s="218"/>
      <c r="AS44" s="218"/>
      <c r="AT44" s="273"/>
    </row>
    <row r="45" spans="2:46" ht="15.75" customHeight="1" x14ac:dyDescent="0.35">
      <c r="B45" s="263"/>
      <c r="C45" s="218"/>
      <c r="D45" s="219"/>
      <c r="E45" s="253"/>
      <c r="F45" s="254"/>
      <c r="G45" s="254"/>
      <c r="H45" s="254"/>
      <c r="I45" s="254"/>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74"/>
      <c r="AP45" s="275"/>
      <c r="AQ45" s="275"/>
      <c r="AR45" s="275"/>
      <c r="AS45" s="275"/>
      <c r="AT45" s="276"/>
    </row>
    <row r="46" spans="2:46" ht="46.5" customHeight="1" x14ac:dyDescent="0.55000000000000004">
      <c r="B46" s="263"/>
      <c r="C46" s="218"/>
      <c r="D46" s="219"/>
      <c r="E46" s="281" t="s">
        <v>103</v>
      </c>
      <c r="F46" s="252"/>
      <c r="G46" s="252"/>
      <c r="H46" s="252"/>
      <c r="I46" s="238"/>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35">
      <c r="B47" s="263"/>
      <c r="C47" s="218"/>
      <c r="D47" s="219"/>
      <c r="E47" s="230"/>
      <c r="F47" s="218"/>
      <c r="G47" s="218"/>
      <c r="H47" s="218"/>
      <c r="I47" s="219"/>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R2C2</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35">
      <c r="B48" s="263"/>
      <c r="C48" s="218"/>
      <c r="D48" s="219"/>
      <c r="E48" s="230"/>
      <c r="F48" s="218"/>
      <c r="G48" s="218"/>
      <c r="H48" s="218"/>
      <c r="I48" s="219"/>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35">
      <c r="B49" s="263"/>
      <c r="C49" s="218"/>
      <c r="D49" s="219"/>
      <c r="E49" s="230"/>
      <c r="F49" s="218"/>
      <c r="G49" s="218"/>
      <c r="H49" s="218"/>
      <c r="I49" s="219"/>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35">
      <c r="B50" s="263"/>
      <c r="C50" s="218"/>
      <c r="D50" s="219"/>
      <c r="E50" s="230"/>
      <c r="F50" s="218"/>
      <c r="G50" s="218"/>
      <c r="H50" s="218"/>
      <c r="I50" s="219"/>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35">
      <c r="B51" s="263"/>
      <c r="C51" s="218"/>
      <c r="D51" s="219"/>
      <c r="E51" s="230"/>
      <c r="F51" s="218"/>
      <c r="G51" s="218"/>
      <c r="H51" s="218"/>
      <c r="I51" s="219"/>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35">
      <c r="B52" s="263"/>
      <c r="C52" s="218"/>
      <c r="D52" s="219"/>
      <c r="E52" s="230"/>
      <c r="F52" s="218"/>
      <c r="G52" s="218"/>
      <c r="H52" s="218"/>
      <c r="I52" s="219"/>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35">
      <c r="B53" s="263"/>
      <c r="C53" s="218"/>
      <c r="D53" s="219"/>
      <c r="E53" s="230"/>
      <c r="F53" s="218"/>
      <c r="G53" s="218"/>
      <c r="H53" s="218"/>
      <c r="I53" s="219"/>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35">
      <c r="B54" s="263"/>
      <c r="C54" s="218"/>
      <c r="D54" s="219"/>
      <c r="E54" s="230"/>
      <c r="F54" s="218"/>
      <c r="G54" s="218"/>
      <c r="H54" s="218"/>
      <c r="I54" s="219"/>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35">
      <c r="B55" s="233"/>
      <c r="C55" s="265"/>
      <c r="D55" s="234"/>
      <c r="E55" s="253"/>
      <c r="F55" s="254"/>
      <c r="G55" s="254"/>
      <c r="H55" s="254"/>
      <c r="I55" s="257"/>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35">
      <c r="B56" s="1"/>
      <c r="C56" s="1"/>
      <c r="D56" s="1"/>
      <c r="E56" s="1"/>
      <c r="F56" s="1"/>
      <c r="G56" s="1"/>
      <c r="H56" s="1"/>
      <c r="I56" s="1"/>
      <c r="J56" s="281" t="s">
        <v>104</v>
      </c>
      <c r="K56" s="252"/>
      <c r="L56" s="252"/>
      <c r="M56" s="252"/>
      <c r="N56" s="252"/>
      <c r="O56" s="238"/>
      <c r="P56" s="281" t="s">
        <v>105</v>
      </c>
      <c r="Q56" s="252"/>
      <c r="R56" s="252"/>
      <c r="S56" s="252"/>
      <c r="T56" s="252"/>
      <c r="U56" s="238"/>
      <c r="V56" s="281" t="s">
        <v>106</v>
      </c>
      <c r="W56" s="252"/>
      <c r="X56" s="252"/>
      <c r="Y56" s="252"/>
      <c r="Z56" s="252"/>
      <c r="AA56" s="238"/>
      <c r="AB56" s="281" t="s">
        <v>107</v>
      </c>
      <c r="AC56" s="252"/>
      <c r="AD56" s="252"/>
      <c r="AE56" s="252"/>
      <c r="AF56" s="252"/>
      <c r="AG56" s="238"/>
      <c r="AH56" s="281" t="s">
        <v>108</v>
      </c>
      <c r="AI56" s="252"/>
      <c r="AJ56" s="252"/>
      <c r="AK56" s="252"/>
      <c r="AL56" s="252"/>
      <c r="AM56" s="238"/>
    </row>
    <row r="57" spans="2:39" ht="15.75" customHeight="1" x14ac:dyDescent="0.35">
      <c r="B57" s="1"/>
      <c r="C57" s="1"/>
      <c r="D57" s="1"/>
      <c r="E57" s="1"/>
      <c r="F57" s="1"/>
      <c r="G57" s="1"/>
      <c r="H57" s="1"/>
      <c r="I57" s="1"/>
      <c r="J57" s="230"/>
      <c r="K57" s="218"/>
      <c r="L57" s="218"/>
      <c r="M57" s="218"/>
      <c r="N57" s="218"/>
      <c r="O57" s="219"/>
      <c r="P57" s="230"/>
      <c r="Q57" s="218"/>
      <c r="R57" s="218"/>
      <c r="S57" s="218"/>
      <c r="T57" s="218"/>
      <c r="U57" s="219"/>
      <c r="V57" s="230"/>
      <c r="W57" s="218"/>
      <c r="X57" s="218"/>
      <c r="Y57" s="218"/>
      <c r="Z57" s="218"/>
      <c r="AA57" s="219"/>
      <c r="AB57" s="230"/>
      <c r="AC57" s="218"/>
      <c r="AD57" s="218"/>
      <c r="AE57" s="218"/>
      <c r="AF57" s="218"/>
      <c r="AG57" s="219"/>
      <c r="AH57" s="230"/>
      <c r="AI57" s="218"/>
      <c r="AJ57" s="218"/>
      <c r="AK57" s="218"/>
      <c r="AL57" s="218"/>
      <c r="AM57" s="219"/>
    </row>
    <row r="58" spans="2:39" ht="15.75" customHeight="1" x14ac:dyDescent="0.35">
      <c r="B58" s="1"/>
      <c r="C58" s="1"/>
      <c r="D58" s="1"/>
      <c r="E58" s="1"/>
      <c r="F58" s="1"/>
      <c r="G58" s="1"/>
      <c r="H58" s="1"/>
      <c r="I58" s="1"/>
      <c r="J58" s="230"/>
      <c r="K58" s="218"/>
      <c r="L58" s="218"/>
      <c r="M58" s="218"/>
      <c r="N58" s="218"/>
      <c r="O58" s="219"/>
      <c r="P58" s="230"/>
      <c r="Q58" s="218"/>
      <c r="R58" s="218"/>
      <c r="S58" s="218"/>
      <c r="T58" s="218"/>
      <c r="U58" s="219"/>
      <c r="V58" s="230"/>
      <c r="W58" s="218"/>
      <c r="X58" s="218"/>
      <c r="Y58" s="218"/>
      <c r="Z58" s="218"/>
      <c r="AA58" s="219"/>
      <c r="AB58" s="230"/>
      <c r="AC58" s="218"/>
      <c r="AD58" s="218"/>
      <c r="AE58" s="218"/>
      <c r="AF58" s="218"/>
      <c r="AG58" s="219"/>
      <c r="AH58" s="230"/>
      <c r="AI58" s="218"/>
      <c r="AJ58" s="218"/>
      <c r="AK58" s="218"/>
      <c r="AL58" s="218"/>
      <c r="AM58" s="219"/>
    </row>
    <row r="59" spans="2:39" ht="15.75" customHeight="1" x14ac:dyDescent="0.35">
      <c r="B59" s="1"/>
      <c r="C59" s="1"/>
      <c r="D59" s="1"/>
      <c r="E59" s="1"/>
      <c r="F59" s="1"/>
      <c r="G59" s="1"/>
      <c r="H59" s="1"/>
      <c r="I59" s="1"/>
      <c r="J59" s="230"/>
      <c r="K59" s="218"/>
      <c r="L59" s="218"/>
      <c r="M59" s="218"/>
      <c r="N59" s="218"/>
      <c r="O59" s="219"/>
      <c r="P59" s="230"/>
      <c r="Q59" s="218"/>
      <c r="R59" s="218"/>
      <c r="S59" s="218"/>
      <c r="T59" s="218"/>
      <c r="U59" s="219"/>
      <c r="V59" s="230"/>
      <c r="W59" s="218"/>
      <c r="X59" s="218"/>
      <c r="Y59" s="218"/>
      <c r="Z59" s="218"/>
      <c r="AA59" s="219"/>
      <c r="AB59" s="230"/>
      <c r="AC59" s="218"/>
      <c r="AD59" s="218"/>
      <c r="AE59" s="218"/>
      <c r="AF59" s="218"/>
      <c r="AG59" s="219"/>
      <c r="AH59" s="230"/>
      <c r="AI59" s="218"/>
      <c r="AJ59" s="218"/>
      <c r="AK59" s="218"/>
      <c r="AL59" s="218"/>
      <c r="AM59" s="219"/>
    </row>
    <row r="60" spans="2:39" ht="15.75" customHeight="1" x14ac:dyDescent="0.35">
      <c r="B60" s="1"/>
      <c r="C60" s="1"/>
      <c r="D60" s="1"/>
      <c r="E60" s="1"/>
      <c r="F60" s="1"/>
      <c r="G60" s="1"/>
      <c r="H60" s="1"/>
      <c r="I60" s="1"/>
      <c r="J60" s="230"/>
      <c r="K60" s="218"/>
      <c r="L60" s="218"/>
      <c r="M60" s="218"/>
      <c r="N60" s="218"/>
      <c r="O60" s="219"/>
      <c r="P60" s="230"/>
      <c r="Q60" s="218"/>
      <c r="R60" s="218"/>
      <c r="S60" s="218"/>
      <c r="T60" s="218"/>
      <c r="U60" s="219"/>
      <c r="V60" s="230"/>
      <c r="W60" s="218"/>
      <c r="X60" s="218"/>
      <c r="Y60" s="218"/>
      <c r="Z60" s="218"/>
      <c r="AA60" s="219"/>
      <c r="AB60" s="230"/>
      <c r="AC60" s="218"/>
      <c r="AD60" s="218"/>
      <c r="AE60" s="218"/>
      <c r="AF60" s="218"/>
      <c r="AG60" s="219"/>
      <c r="AH60" s="230"/>
      <c r="AI60" s="218"/>
      <c r="AJ60" s="218"/>
      <c r="AK60" s="218"/>
      <c r="AL60" s="218"/>
      <c r="AM60" s="219"/>
    </row>
    <row r="61" spans="2:39" ht="15.75" customHeight="1" x14ac:dyDescent="0.35">
      <c r="B61" s="1"/>
      <c r="C61" s="1"/>
      <c r="D61" s="1"/>
      <c r="E61" s="1"/>
      <c r="F61" s="1"/>
      <c r="G61" s="1"/>
      <c r="H61" s="1"/>
      <c r="I61" s="1"/>
      <c r="J61" s="253"/>
      <c r="K61" s="254"/>
      <c r="L61" s="254"/>
      <c r="M61" s="254"/>
      <c r="N61" s="254"/>
      <c r="O61" s="257"/>
      <c r="P61" s="253"/>
      <c r="Q61" s="254"/>
      <c r="R61" s="254"/>
      <c r="S61" s="254"/>
      <c r="T61" s="254"/>
      <c r="U61" s="257"/>
      <c r="V61" s="253"/>
      <c r="W61" s="254"/>
      <c r="X61" s="254"/>
      <c r="Y61" s="254"/>
      <c r="Z61" s="254"/>
      <c r="AA61" s="257"/>
      <c r="AB61" s="253"/>
      <c r="AC61" s="254"/>
      <c r="AD61" s="254"/>
      <c r="AE61" s="254"/>
      <c r="AF61" s="254"/>
      <c r="AG61" s="257"/>
      <c r="AH61" s="253"/>
      <c r="AI61" s="254"/>
      <c r="AJ61" s="254"/>
      <c r="AK61" s="254"/>
      <c r="AL61" s="254"/>
      <c r="AM61" s="257"/>
    </row>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3" workbookViewId="0">
      <selection activeCell="C7" sqref="C7"/>
    </sheetView>
  </sheetViews>
  <sheetFormatPr baseColWidth="10" defaultColWidth="12.58203125" defaultRowHeight="15" customHeight="1" x14ac:dyDescent="0.3"/>
  <cols>
    <col min="1" max="1" width="9.33203125" customWidth="1"/>
    <col min="2" max="2" width="21.08203125" customWidth="1"/>
    <col min="3" max="3" width="61.33203125" customWidth="1"/>
    <col min="4" max="4" width="26.08203125" customWidth="1"/>
    <col min="5" max="26" width="9.33203125" customWidth="1"/>
  </cols>
  <sheetData>
    <row r="1" spans="2:4" ht="22.5" x14ac:dyDescent="0.3">
      <c r="B1" s="286" t="s">
        <v>110</v>
      </c>
      <c r="C1" s="218"/>
      <c r="D1" s="218"/>
    </row>
    <row r="2" spans="2:4" ht="14.5" x14ac:dyDescent="0.35">
      <c r="B2" s="1"/>
      <c r="C2" s="1"/>
      <c r="D2" s="1"/>
    </row>
    <row r="3" spans="2:4" ht="25" x14ac:dyDescent="0.3">
      <c r="B3" s="52"/>
      <c r="C3" s="53" t="s">
        <v>111</v>
      </c>
      <c r="D3" s="53" t="s">
        <v>94</v>
      </c>
    </row>
    <row r="4" spans="2:4" ht="50" x14ac:dyDescent="0.3">
      <c r="B4" s="54" t="s">
        <v>112</v>
      </c>
      <c r="C4" s="55" t="s">
        <v>113</v>
      </c>
      <c r="D4" s="56">
        <v>0.2</v>
      </c>
    </row>
    <row r="5" spans="2:4" ht="50" x14ac:dyDescent="0.3">
      <c r="B5" s="57" t="s">
        <v>114</v>
      </c>
      <c r="C5" s="58" t="s">
        <v>115</v>
      </c>
      <c r="D5" s="59">
        <v>0.4</v>
      </c>
    </row>
    <row r="6" spans="2:4" ht="50" x14ac:dyDescent="0.3">
      <c r="B6" s="60" t="s">
        <v>116</v>
      </c>
      <c r="C6" s="58" t="s">
        <v>117</v>
      </c>
      <c r="D6" s="59">
        <v>0.6</v>
      </c>
    </row>
    <row r="7" spans="2:4" ht="75" x14ac:dyDescent="0.3">
      <c r="B7" s="61" t="s">
        <v>118</v>
      </c>
      <c r="C7" s="58" t="s">
        <v>119</v>
      </c>
      <c r="D7" s="59">
        <v>0.8</v>
      </c>
    </row>
    <row r="8" spans="2:4" ht="50" x14ac:dyDescent="0.3">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B2" zoomScale="70" zoomScaleNormal="70" workbookViewId="0">
      <selection activeCell="C7" sqref="C7"/>
    </sheetView>
  </sheetViews>
  <sheetFormatPr baseColWidth="10" defaultColWidth="12.58203125" defaultRowHeight="15" customHeight="1" x14ac:dyDescent="0.3"/>
  <cols>
    <col min="1" max="1" width="9.33203125" customWidth="1"/>
    <col min="2" max="2" width="35.33203125" customWidth="1"/>
    <col min="3" max="3" width="65.5" customWidth="1"/>
    <col min="4" max="4" width="118.08203125" customWidth="1"/>
    <col min="5" max="5" width="126.58203125" customWidth="1"/>
    <col min="6" max="26" width="9.33203125" customWidth="1"/>
  </cols>
  <sheetData>
    <row r="1" spans="1:4" ht="32.5" x14ac:dyDescent="0.35">
      <c r="A1" s="1"/>
      <c r="B1" s="287" t="s">
        <v>122</v>
      </c>
      <c r="C1" s="218"/>
      <c r="D1" s="218"/>
    </row>
    <row r="2" spans="1:4" ht="14.5" x14ac:dyDescent="0.35">
      <c r="A2" s="1"/>
      <c r="B2" s="1"/>
      <c r="C2" s="1"/>
      <c r="D2" s="1"/>
    </row>
    <row r="3" spans="1:4" ht="30.5" x14ac:dyDescent="0.35">
      <c r="A3" s="1"/>
      <c r="B3" s="63"/>
      <c r="C3" s="64" t="s">
        <v>123</v>
      </c>
      <c r="D3" s="64" t="s">
        <v>124</v>
      </c>
    </row>
    <row r="4" spans="1:4" ht="32.5" x14ac:dyDescent="0.35">
      <c r="A4" s="65" t="s">
        <v>125</v>
      </c>
      <c r="B4" s="66" t="s">
        <v>126</v>
      </c>
      <c r="C4" s="67" t="s">
        <v>127</v>
      </c>
      <c r="D4" s="68" t="s">
        <v>128</v>
      </c>
    </row>
    <row r="5" spans="1:4" ht="65" x14ac:dyDescent="0.35">
      <c r="A5" s="65" t="s">
        <v>129</v>
      </c>
      <c r="B5" s="69" t="s">
        <v>130</v>
      </c>
      <c r="C5" s="70" t="s">
        <v>131</v>
      </c>
      <c r="D5" s="71" t="s">
        <v>132</v>
      </c>
    </row>
    <row r="6" spans="1:4" ht="65" x14ac:dyDescent="0.35">
      <c r="A6" s="65" t="s">
        <v>100</v>
      </c>
      <c r="B6" s="72" t="s">
        <v>133</v>
      </c>
      <c r="C6" s="98" t="s">
        <v>134</v>
      </c>
      <c r="D6" s="99" t="s">
        <v>215</v>
      </c>
    </row>
    <row r="7" spans="1:4" ht="97.5" x14ac:dyDescent="0.35">
      <c r="A7" s="65" t="s">
        <v>136</v>
      </c>
      <c r="B7" s="73" t="s">
        <v>137</v>
      </c>
      <c r="C7" s="70" t="s">
        <v>138</v>
      </c>
      <c r="D7" s="71" t="s">
        <v>214</v>
      </c>
    </row>
    <row r="8" spans="1:4" ht="65" x14ac:dyDescent="0.35">
      <c r="A8" s="65" t="s">
        <v>140</v>
      </c>
      <c r="B8" s="74" t="s">
        <v>141</v>
      </c>
      <c r="C8" s="70" t="s">
        <v>142</v>
      </c>
      <c r="D8" s="71" t="s">
        <v>143</v>
      </c>
    </row>
    <row r="9" spans="1:4" ht="20" x14ac:dyDescent="0.35">
      <c r="A9" s="65"/>
      <c r="B9" s="65"/>
      <c r="C9" s="75"/>
      <c r="D9" s="75"/>
    </row>
    <row r="10" spans="1:4" ht="14.5" x14ac:dyDescent="0.35">
      <c r="A10" s="65"/>
      <c r="B10" s="76"/>
      <c r="C10" s="76"/>
      <c r="D10" s="76"/>
    </row>
    <row r="11" spans="1:4" ht="14.5" x14ac:dyDescent="0.35">
      <c r="A11" s="65"/>
      <c r="B11" s="65" t="s">
        <v>144</v>
      </c>
      <c r="C11" s="65" t="s">
        <v>145</v>
      </c>
      <c r="D11" s="65" t="s">
        <v>146</v>
      </c>
    </row>
    <row r="12" spans="1:4" ht="14.5" x14ac:dyDescent="0.35">
      <c r="A12" s="65"/>
      <c r="B12" s="65" t="s">
        <v>147</v>
      </c>
      <c r="C12" s="65" t="s">
        <v>148</v>
      </c>
      <c r="D12" s="65" t="s">
        <v>149</v>
      </c>
    </row>
    <row r="13" spans="1:4" ht="14.5" x14ac:dyDescent="0.35">
      <c r="A13" s="65"/>
      <c r="B13" s="65"/>
      <c r="C13" s="65" t="s">
        <v>150</v>
      </c>
      <c r="D13" s="65" t="s">
        <v>151</v>
      </c>
    </row>
    <row r="14" spans="1:4" ht="14.5" x14ac:dyDescent="0.35">
      <c r="A14" s="65"/>
      <c r="B14" s="65"/>
      <c r="C14" s="65" t="s">
        <v>152</v>
      </c>
      <c r="D14" s="65" t="s">
        <v>153</v>
      </c>
    </row>
    <row r="15" spans="1:4" ht="14.5" x14ac:dyDescent="0.35">
      <c r="A15" s="65"/>
      <c r="B15" s="65"/>
      <c r="C15" s="65" t="s">
        <v>154</v>
      </c>
      <c r="D15" s="65" t="s">
        <v>155</v>
      </c>
    </row>
    <row r="209" spans="2:8" ht="15.75" customHeight="1" x14ac:dyDescent="0.35">
      <c r="B209" s="77" t="s">
        <v>156</v>
      </c>
      <c r="C209" s="77" t="s">
        <v>157</v>
      </c>
      <c r="D209" s="78" t="s">
        <v>156</v>
      </c>
      <c r="E209" s="78" t="s">
        <v>157</v>
      </c>
    </row>
    <row r="210" spans="2:8" ht="15.75" customHeight="1" x14ac:dyDescent="0.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5">
      <c r="B211" s="79" t="s">
        <v>158</v>
      </c>
      <c r="C211" s="79" t="s">
        <v>131</v>
      </c>
      <c r="E211" s="80" t="s">
        <v>159</v>
      </c>
      <c r="F211" s="80" t="str">
        <f t="shared" si="0"/>
        <v xml:space="preserve">     Afectación menor a 10 SMLMV .</v>
      </c>
    </row>
    <row r="212" spans="2:8" ht="15.75" customHeight="1" x14ac:dyDescent="0.5">
      <c r="B212" s="79" t="s">
        <v>158</v>
      </c>
      <c r="C212" s="79" t="s">
        <v>134</v>
      </c>
      <c r="E212" s="80" t="s">
        <v>131</v>
      </c>
      <c r="F212" s="80" t="str">
        <f t="shared" si="0"/>
        <v xml:space="preserve">     Entre 10 y 50 SMLMV </v>
      </c>
    </row>
    <row r="213" spans="2:8" ht="15.75" customHeight="1" x14ac:dyDescent="0.5">
      <c r="B213" s="79" t="s">
        <v>158</v>
      </c>
      <c r="C213" s="79" t="s">
        <v>138</v>
      </c>
      <c r="E213" s="80" t="s">
        <v>134</v>
      </c>
      <c r="F213" s="80" t="str">
        <f t="shared" si="0"/>
        <v xml:space="preserve">     Entre 50 y 100 SMLMV </v>
      </c>
    </row>
    <row r="214" spans="2:8" ht="15.75" customHeight="1" x14ac:dyDescent="0.5">
      <c r="B214" s="79" t="s">
        <v>158</v>
      </c>
      <c r="C214" s="79" t="s">
        <v>142</v>
      </c>
      <c r="E214" s="80" t="s">
        <v>138</v>
      </c>
      <c r="F214" s="80" t="str">
        <f t="shared" si="0"/>
        <v xml:space="preserve">     Entre 100 y 500 SMLMV </v>
      </c>
    </row>
    <row r="215" spans="2:8" ht="15.75" customHeight="1" x14ac:dyDescent="0.5">
      <c r="B215" s="79" t="s">
        <v>124</v>
      </c>
      <c r="C215" s="79" t="s">
        <v>128</v>
      </c>
      <c r="E215" s="80" t="s">
        <v>142</v>
      </c>
      <c r="F215" s="80" t="str">
        <f t="shared" si="0"/>
        <v xml:space="preserve">     Mayor a 500 SMLMV </v>
      </c>
    </row>
    <row r="216" spans="2:8" ht="15.75" customHeight="1" x14ac:dyDescent="0.5">
      <c r="B216" s="79" t="s">
        <v>124</v>
      </c>
      <c r="C216" s="79" t="s">
        <v>132</v>
      </c>
      <c r="D216" s="80" t="s">
        <v>124</v>
      </c>
      <c r="F216" s="80" t="str">
        <f t="shared" si="0"/>
        <v>Pérdida Reputacional</v>
      </c>
    </row>
    <row r="217" spans="2:8" ht="15.75" customHeight="1" x14ac:dyDescent="0.5">
      <c r="B217" s="79" t="s">
        <v>124</v>
      </c>
      <c r="C217" s="79" t="s">
        <v>135</v>
      </c>
      <c r="E217" s="80" t="s">
        <v>128</v>
      </c>
      <c r="F217" s="80" t="str">
        <f t="shared" si="0"/>
        <v xml:space="preserve">     El riesgo afecta la imagen de alguna área de la organización</v>
      </c>
    </row>
    <row r="218" spans="2:8" ht="15.75" customHeight="1" x14ac:dyDescent="0.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3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3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35">
      <c r="B222" s="81" t="str">
        <f ca="1">IFERROR(__xludf.DUMMYFUNCTION("""COMPUTED_VALUE"""),"Afectación Económica o presupuestal")</f>
        <v>Afectación Económica o presupuestal</v>
      </c>
      <c r="C222" s="81"/>
    </row>
    <row r="223" spans="2:8" ht="15.75" customHeight="1" x14ac:dyDescent="0.35">
      <c r="B223" s="81" t="str">
        <f ca="1">IFERROR(__xludf.DUMMYFUNCTION("""COMPUTED_VALUE"""),"Pérdida Reputacional")</f>
        <v>Pérdida Reputacional</v>
      </c>
      <c r="C223" s="81"/>
      <c r="F223" s="82" t="s">
        <v>160</v>
      </c>
    </row>
    <row r="224" spans="2:8" ht="15.75" customHeight="1" x14ac:dyDescent="0.35">
      <c r="B224" s="78"/>
      <c r="C224" s="78"/>
      <c r="F224" s="82" t="s">
        <v>161</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7" sqref="E7"/>
    </sheetView>
  </sheetViews>
  <sheetFormatPr baseColWidth="10" defaultColWidth="12.58203125" defaultRowHeight="15" customHeight="1" x14ac:dyDescent="0.3"/>
  <cols>
    <col min="1" max="2" width="12.5" customWidth="1"/>
    <col min="3" max="3" width="14.83203125" customWidth="1"/>
    <col min="4" max="4" width="12.5" customWidth="1"/>
    <col min="5" max="5" width="40.25" customWidth="1"/>
    <col min="6" max="26" width="12.5" customWidth="1"/>
  </cols>
  <sheetData>
    <row r="1" spans="2:6" ht="24" customHeight="1" x14ac:dyDescent="0.3">
      <c r="B1" s="293" t="s">
        <v>162</v>
      </c>
      <c r="C1" s="294"/>
      <c r="D1" s="294"/>
      <c r="E1" s="294"/>
      <c r="F1" s="295"/>
    </row>
    <row r="2" spans="2:6" ht="12.75" customHeight="1" x14ac:dyDescent="0.35">
      <c r="B2" s="83"/>
      <c r="C2" s="83"/>
      <c r="D2" s="83"/>
      <c r="E2" s="83"/>
      <c r="F2" s="83"/>
    </row>
    <row r="3" spans="2:6" ht="12.75" customHeight="1" x14ac:dyDescent="0.3">
      <c r="B3" s="296" t="s">
        <v>163</v>
      </c>
      <c r="C3" s="294"/>
      <c r="D3" s="297"/>
      <c r="E3" s="84" t="s">
        <v>164</v>
      </c>
      <c r="F3" s="85" t="s">
        <v>165</v>
      </c>
    </row>
    <row r="4" spans="2:6" ht="12.75" customHeight="1" x14ac:dyDescent="0.3">
      <c r="B4" s="298" t="s">
        <v>166</v>
      </c>
      <c r="C4" s="301" t="s">
        <v>86</v>
      </c>
      <c r="D4" s="86" t="s">
        <v>167</v>
      </c>
      <c r="E4" s="87" t="s">
        <v>168</v>
      </c>
      <c r="F4" s="88">
        <v>0.25</v>
      </c>
    </row>
    <row r="5" spans="2:6" ht="12.75" customHeight="1" x14ac:dyDescent="0.3">
      <c r="B5" s="299"/>
      <c r="C5" s="302"/>
      <c r="D5" s="89" t="s">
        <v>169</v>
      </c>
      <c r="E5" s="90" t="s">
        <v>170</v>
      </c>
      <c r="F5" s="91">
        <v>0.15</v>
      </c>
    </row>
    <row r="6" spans="2:6" ht="12.75" customHeight="1" x14ac:dyDescent="0.3">
      <c r="B6" s="299"/>
      <c r="C6" s="291"/>
      <c r="D6" s="89" t="s">
        <v>171</v>
      </c>
      <c r="E6" s="90" t="s">
        <v>172</v>
      </c>
      <c r="F6" s="91">
        <v>0.1</v>
      </c>
    </row>
    <row r="7" spans="2:6" ht="12.75" customHeight="1" x14ac:dyDescent="0.3">
      <c r="B7" s="299"/>
      <c r="C7" s="290" t="s">
        <v>87</v>
      </c>
      <c r="D7" s="89" t="s">
        <v>173</v>
      </c>
      <c r="E7" s="90" t="s">
        <v>174</v>
      </c>
      <c r="F7" s="91">
        <v>0.25</v>
      </c>
    </row>
    <row r="8" spans="2:6" ht="12.75" customHeight="1" x14ac:dyDescent="0.3">
      <c r="B8" s="300"/>
      <c r="C8" s="291"/>
      <c r="D8" s="89" t="s">
        <v>175</v>
      </c>
      <c r="E8" s="90" t="s">
        <v>176</v>
      </c>
      <c r="F8" s="91">
        <v>0.15</v>
      </c>
    </row>
    <row r="9" spans="2:6" ht="12.75" customHeight="1" x14ac:dyDescent="0.3">
      <c r="B9" s="303" t="s">
        <v>177</v>
      </c>
      <c r="C9" s="290" t="s">
        <v>89</v>
      </c>
      <c r="D9" s="89" t="s">
        <v>178</v>
      </c>
      <c r="E9" s="90" t="s">
        <v>179</v>
      </c>
      <c r="F9" s="92" t="s">
        <v>180</v>
      </c>
    </row>
    <row r="10" spans="2:6" ht="12.75" customHeight="1" x14ac:dyDescent="0.3">
      <c r="B10" s="299"/>
      <c r="C10" s="291"/>
      <c r="D10" s="89" t="s">
        <v>181</v>
      </c>
      <c r="E10" s="90" t="s">
        <v>182</v>
      </c>
      <c r="F10" s="92" t="s">
        <v>180</v>
      </c>
    </row>
    <row r="11" spans="2:6" ht="12.75" customHeight="1" x14ac:dyDescent="0.3">
      <c r="B11" s="299"/>
      <c r="C11" s="290" t="s">
        <v>90</v>
      </c>
      <c r="D11" s="89" t="s">
        <v>183</v>
      </c>
      <c r="E11" s="90" t="s">
        <v>184</v>
      </c>
      <c r="F11" s="92" t="s">
        <v>180</v>
      </c>
    </row>
    <row r="12" spans="2:6" ht="12.75" customHeight="1" x14ac:dyDescent="0.3">
      <c r="B12" s="299"/>
      <c r="C12" s="291"/>
      <c r="D12" s="89" t="s">
        <v>185</v>
      </c>
      <c r="E12" s="90" t="s">
        <v>186</v>
      </c>
      <c r="F12" s="92" t="s">
        <v>180</v>
      </c>
    </row>
    <row r="13" spans="2:6" ht="12.75" customHeight="1" x14ac:dyDescent="0.3">
      <c r="B13" s="299"/>
      <c r="C13" s="290" t="s">
        <v>91</v>
      </c>
      <c r="D13" s="89" t="s">
        <v>187</v>
      </c>
      <c r="E13" s="90" t="s">
        <v>188</v>
      </c>
      <c r="F13" s="92" t="s">
        <v>180</v>
      </c>
    </row>
    <row r="14" spans="2:6" ht="12.75" customHeight="1" x14ac:dyDescent="0.3">
      <c r="B14" s="304"/>
      <c r="C14" s="292"/>
      <c r="D14" s="93" t="s">
        <v>189</v>
      </c>
      <c r="E14" s="94" t="s">
        <v>190</v>
      </c>
      <c r="F14" s="95" t="s">
        <v>180</v>
      </c>
    </row>
    <row r="15" spans="2:6" ht="49.5" customHeight="1" x14ac:dyDescent="0.3">
      <c r="B15" s="288" t="s">
        <v>191</v>
      </c>
      <c r="C15" s="196"/>
      <c r="D15" s="196"/>
      <c r="E15" s="196"/>
      <c r="F15" s="289"/>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 x14ac:dyDescent="0.3"/>
  <sheetData>
    <row r="2" spans="2:12" x14ac:dyDescent="0.3">
      <c r="B2" s="100"/>
      <c r="C2" s="310" t="s">
        <v>226</v>
      </c>
      <c r="D2" s="310"/>
      <c r="E2" s="310"/>
      <c r="F2" s="310"/>
      <c r="G2" s="310"/>
      <c r="H2" s="310"/>
      <c r="I2" s="310"/>
      <c r="J2" s="310"/>
      <c r="K2" s="310"/>
      <c r="L2" s="310"/>
    </row>
    <row r="3" spans="2:12" ht="14.5" thickBot="1" x14ac:dyDescent="0.35">
      <c r="B3" s="100"/>
      <c r="C3" s="101"/>
      <c r="G3" s="100"/>
      <c r="H3" s="100"/>
      <c r="I3" s="100"/>
      <c r="J3" s="100"/>
      <c r="K3" s="100"/>
      <c r="L3" s="100"/>
    </row>
    <row r="4" spans="2:12" x14ac:dyDescent="0.3">
      <c r="B4" s="311" t="s">
        <v>227</v>
      </c>
      <c r="C4" s="312"/>
      <c r="D4" s="312" t="s">
        <v>228</v>
      </c>
      <c r="E4" s="312"/>
      <c r="F4" s="312"/>
      <c r="G4" s="312"/>
      <c r="H4" s="312" t="s">
        <v>229</v>
      </c>
      <c r="I4" s="312"/>
      <c r="J4" s="312"/>
      <c r="K4" s="312" t="s">
        <v>230</v>
      </c>
      <c r="L4" s="313"/>
    </row>
    <row r="5" spans="2:12" ht="14.5" thickBot="1" x14ac:dyDescent="0.35">
      <c r="B5" s="305"/>
      <c r="C5" s="306"/>
      <c r="D5" s="307"/>
      <c r="E5" s="307"/>
      <c r="F5" s="307"/>
      <c r="G5" s="307"/>
      <c r="H5" s="308"/>
      <c r="I5" s="308"/>
      <c r="J5" s="308"/>
      <c r="K5" s="308"/>
      <c r="L5" s="309"/>
    </row>
    <row r="6" spans="2:12" x14ac:dyDescent="0.3">
      <c r="B6" s="100"/>
      <c r="C6" s="102"/>
      <c r="G6" s="100"/>
      <c r="H6" s="100"/>
      <c r="I6" s="100"/>
      <c r="J6" s="100"/>
      <c r="K6" s="100"/>
      <c r="L6" s="100"/>
    </row>
    <row r="7" spans="2:12" ht="14.5" thickBot="1" x14ac:dyDescent="0.35">
      <c r="B7" s="100"/>
      <c r="C7" s="102"/>
      <c r="G7" s="100"/>
      <c r="H7" s="100"/>
      <c r="I7" s="100"/>
      <c r="J7" s="100"/>
      <c r="K7" s="100"/>
      <c r="L7" s="100"/>
    </row>
    <row r="8" spans="2:12" x14ac:dyDescent="0.3">
      <c r="B8" s="314" t="s">
        <v>231</v>
      </c>
      <c r="C8" s="315"/>
      <c r="D8" s="315"/>
      <c r="E8" s="316"/>
      <c r="F8" s="314" t="s">
        <v>232</v>
      </c>
      <c r="G8" s="315"/>
      <c r="H8" s="315"/>
      <c r="I8" s="316"/>
      <c r="J8" s="314" t="s">
        <v>233</v>
      </c>
      <c r="K8" s="315"/>
      <c r="L8" s="316"/>
    </row>
    <row r="9" spans="2:12" x14ac:dyDescent="0.3">
      <c r="B9" s="317"/>
      <c r="C9" s="318"/>
      <c r="D9" s="318"/>
      <c r="E9" s="319"/>
      <c r="F9" s="320"/>
      <c r="G9" s="321"/>
      <c r="H9" s="321"/>
      <c r="I9" s="322"/>
      <c r="J9" s="320"/>
      <c r="K9" s="321"/>
      <c r="L9" s="322"/>
    </row>
    <row r="10" spans="2:12" x14ac:dyDescent="0.3">
      <c r="B10" s="317"/>
      <c r="C10" s="318"/>
      <c r="D10" s="318"/>
      <c r="E10" s="319"/>
      <c r="F10" s="320"/>
      <c r="G10" s="321"/>
      <c r="H10" s="321"/>
      <c r="I10" s="322"/>
      <c r="J10" s="320"/>
      <c r="K10" s="321"/>
      <c r="L10" s="322"/>
    </row>
    <row r="11" spans="2:12" x14ac:dyDescent="0.3">
      <c r="B11" s="317"/>
      <c r="C11" s="318"/>
      <c r="D11" s="318"/>
      <c r="E11" s="319"/>
      <c r="F11" s="320"/>
      <c r="G11" s="321"/>
      <c r="H11" s="321"/>
      <c r="I11" s="322"/>
      <c r="J11" s="320"/>
      <c r="K11" s="321"/>
      <c r="L11" s="322"/>
    </row>
    <row r="12" spans="2:12" x14ac:dyDescent="0.3">
      <c r="B12" s="317"/>
      <c r="C12" s="318"/>
      <c r="D12" s="318"/>
      <c r="E12" s="319"/>
      <c r="F12" s="320"/>
      <c r="G12" s="321"/>
      <c r="H12" s="321"/>
      <c r="I12" s="322"/>
      <c r="J12" s="320"/>
      <c r="K12" s="321"/>
      <c r="L12" s="322"/>
    </row>
    <row r="13" spans="2:12" x14ac:dyDescent="0.3">
      <c r="B13" s="323" t="s">
        <v>234</v>
      </c>
      <c r="C13" s="324"/>
      <c r="D13" s="324"/>
      <c r="E13" s="325"/>
      <c r="F13" s="323" t="s">
        <v>235</v>
      </c>
      <c r="G13" s="324"/>
      <c r="H13" s="324"/>
      <c r="I13" s="325"/>
      <c r="J13" s="323" t="s">
        <v>236</v>
      </c>
      <c r="K13" s="324"/>
      <c r="L13" s="325"/>
    </row>
    <row r="14" spans="2:12" x14ac:dyDescent="0.3">
      <c r="B14" s="323" t="s">
        <v>237</v>
      </c>
      <c r="C14" s="324"/>
      <c r="D14" s="324"/>
      <c r="E14" s="325"/>
      <c r="F14" s="323" t="s">
        <v>238</v>
      </c>
      <c r="G14" s="324"/>
      <c r="H14" s="324"/>
      <c r="I14" s="325"/>
      <c r="J14" s="323" t="s">
        <v>239</v>
      </c>
      <c r="K14" s="324"/>
      <c r="L14" s="325"/>
    </row>
    <row r="15" spans="2:12" ht="14.5" thickBot="1" x14ac:dyDescent="0.35">
      <c r="B15" s="326"/>
      <c r="C15" s="327"/>
      <c r="D15" s="327"/>
      <c r="E15" s="328"/>
      <c r="F15" s="329"/>
      <c r="G15" s="330"/>
      <c r="H15" s="330"/>
      <c r="I15" s="331"/>
      <c r="J15" s="326"/>
      <c r="K15" s="327"/>
      <c r="L15" s="328"/>
    </row>
  </sheetData>
  <mergeCells count="33">
    <mergeCell ref="B14:E14"/>
    <mergeCell ref="F14:I14"/>
    <mergeCell ref="J14:L14"/>
    <mergeCell ref="B15:E15"/>
    <mergeCell ref="F15:I15"/>
    <mergeCell ref="J15:L15"/>
    <mergeCell ref="B12:E12"/>
    <mergeCell ref="F12:I12"/>
    <mergeCell ref="J12:L12"/>
    <mergeCell ref="B13:E13"/>
    <mergeCell ref="F13:I13"/>
    <mergeCell ref="J13:L13"/>
    <mergeCell ref="B10:E10"/>
    <mergeCell ref="F10:I10"/>
    <mergeCell ref="J10:L10"/>
    <mergeCell ref="B11:E11"/>
    <mergeCell ref="F11:I11"/>
    <mergeCell ref="J11:L11"/>
    <mergeCell ref="B8:E8"/>
    <mergeCell ref="F8:I8"/>
    <mergeCell ref="J8:L8"/>
    <mergeCell ref="B9:E9"/>
    <mergeCell ref="F9:I9"/>
    <mergeCell ref="J9:L9"/>
    <mergeCell ref="B5:C5"/>
    <mergeCell ref="D5:G5"/>
    <mergeCell ref="H5:J5"/>
    <mergeCell ref="K5:L5"/>
    <mergeCell ref="C2:L2"/>
    <mergeCell ref="B4:C4"/>
    <mergeCell ref="D4:G4"/>
    <mergeCell ref="H4:J4"/>
    <mergeCell ref="K4: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58203125" defaultRowHeight="15" customHeight="1" x14ac:dyDescent="0.3"/>
  <cols>
    <col min="1" max="26" width="9.33203125" customWidth="1"/>
  </cols>
  <sheetData>
    <row r="2" spans="2:5" ht="15" customHeight="1" x14ac:dyDescent="0.35">
      <c r="B2" s="80" t="s">
        <v>192</v>
      </c>
      <c r="E2" s="80" t="s">
        <v>193</v>
      </c>
    </row>
    <row r="3" spans="2:5" ht="15" customHeight="1" x14ac:dyDescent="0.35">
      <c r="B3" s="80" t="s">
        <v>194</v>
      </c>
      <c r="E3" s="80" t="s">
        <v>195</v>
      </c>
    </row>
    <row r="4" spans="2:5" ht="15" customHeight="1" x14ac:dyDescent="0.35">
      <c r="B4" s="80" t="s">
        <v>196</v>
      </c>
      <c r="E4" s="80" t="s">
        <v>197</v>
      </c>
    </row>
    <row r="5" spans="2:5" ht="15" customHeight="1" x14ac:dyDescent="0.35">
      <c r="B5" s="80" t="s">
        <v>198</v>
      </c>
    </row>
    <row r="8" spans="2:5" ht="15" customHeight="1" x14ac:dyDescent="0.35">
      <c r="B8" s="80" t="s">
        <v>199</v>
      </c>
    </row>
    <row r="9" spans="2:5" ht="15" customHeight="1" x14ac:dyDescent="0.35">
      <c r="B9" s="80" t="s">
        <v>200</v>
      </c>
    </row>
    <row r="10" spans="2:5" ht="15" customHeight="1" x14ac:dyDescent="0.35">
      <c r="B10" s="80" t="s">
        <v>201</v>
      </c>
    </row>
    <row r="13" spans="2:5" ht="15" customHeight="1" x14ac:dyDescent="0.35">
      <c r="B13" s="80" t="s">
        <v>202</v>
      </c>
    </row>
    <row r="14" spans="2:5" ht="15" customHeight="1" x14ac:dyDescent="0.35">
      <c r="B14" s="80" t="s">
        <v>203</v>
      </c>
    </row>
    <row r="15" spans="2:5" ht="15" customHeight="1" x14ac:dyDescent="0.35">
      <c r="B15" s="80" t="s">
        <v>204</v>
      </c>
    </row>
    <row r="16" spans="2:5" ht="15" customHeight="1" x14ac:dyDescent="0.35">
      <c r="B16" s="80" t="s">
        <v>205</v>
      </c>
    </row>
    <row r="17" spans="2:2" ht="15" customHeight="1" x14ac:dyDescent="0.35">
      <c r="B17" s="80" t="s">
        <v>206</v>
      </c>
    </row>
    <row r="18" spans="2:2" ht="15" customHeight="1" x14ac:dyDescent="0.35">
      <c r="B18" s="80" t="s">
        <v>207</v>
      </c>
    </row>
    <row r="19" spans="2:2" ht="15" customHeight="1" x14ac:dyDescent="0.3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Oficina de Planeacion de Gestion Institucional</cp:lastModifiedBy>
  <cp:lastPrinted>2023-11-30T22:01:40Z</cp:lastPrinted>
  <dcterms:created xsi:type="dcterms:W3CDTF">2020-03-24T23:12:47Z</dcterms:created>
  <dcterms:modified xsi:type="dcterms:W3CDTF">2025-08-22T16:17:39Z</dcterms:modified>
</cp:coreProperties>
</file>