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OPGI\OPGI 2025\MIPG\RIESGOS\MAPAS DE RIESGO 2025\"/>
    </mc:Choice>
  </mc:AlternateContent>
  <xr:revisionPtr revIDLastSave="0" documentId="13_ncr:1_{C756A8D9-0413-4425-913F-8FABDE2A4708}" xr6:coauthVersionLast="47" xr6:coauthVersionMax="47" xr10:uidLastSave="{00000000-0000-0000-0000-000000000000}"/>
  <bookViews>
    <workbookView xWindow="-110" yWindow="-110" windowWidth="14620" windowHeight="8620" xr2:uid="{00000000-000D-0000-FFFF-FFFF0000000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externalReferences>
    <externalReference r:id="rId11"/>
  </externalReferences>
  <calcPr calcId="181029"/>
</workbook>
</file>

<file path=xl/calcChain.xml><?xml version="1.0" encoding="utf-8"?>
<calcChain xmlns="http://schemas.openxmlformats.org/spreadsheetml/2006/main">
  <c r="G16" i="2" l="1"/>
  <c r="T43" i="2"/>
  <c r="T42" i="2"/>
  <c r="T41" i="2"/>
  <c r="T38" i="2"/>
  <c r="T37" i="2"/>
  <c r="T36" i="2"/>
  <c r="T33" i="2"/>
  <c r="T32" i="2"/>
  <c r="T31" i="2"/>
  <c r="T28" i="2"/>
  <c r="T27" i="2"/>
  <c r="T26" i="2"/>
  <c r="T23" i="2"/>
  <c r="T22" i="2"/>
  <c r="T21" i="2"/>
  <c r="T18" i="2"/>
  <c r="T17" i="2"/>
  <c r="H41" i="2"/>
  <c r="H36" i="2"/>
  <c r="H31" i="2"/>
  <c r="H26" i="2"/>
  <c r="H21" i="2"/>
  <c r="T40" i="2" l="1"/>
  <c r="T39" i="2"/>
  <c r="T35" i="2"/>
  <c r="T34" i="2"/>
  <c r="T30" i="2"/>
  <c r="T29" i="2"/>
  <c r="T20" i="2"/>
  <c r="T19" i="2"/>
  <c r="T16" i="2"/>
  <c r="Q43" i="2"/>
  <c r="Q42" i="2"/>
  <c r="Q41" i="2"/>
  <c r="Q40" i="2"/>
  <c r="X40" i="2" s="1"/>
  <c r="Q39" i="2"/>
  <c r="X39" i="2" s="1"/>
  <c r="Q38" i="2"/>
  <c r="Q37" i="2"/>
  <c r="Q36" i="2"/>
  <c r="Q35" i="2"/>
  <c r="AB35" i="2" s="1"/>
  <c r="AA35" i="2" s="1"/>
  <c r="Q34" i="2"/>
  <c r="AB34" i="2" s="1"/>
  <c r="AA34" i="2" s="1"/>
  <c r="Q33" i="2"/>
  <c r="Q32" i="2"/>
  <c r="Q31" i="2"/>
  <c r="Q30" i="2"/>
  <c r="AB30" i="2" s="1"/>
  <c r="AA30" i="2" s="1"/>
  <c r="Q29" i="2"/>
  <c r="AB29" i="2" s="1"/>
  <c r="AA29" i="2" s="1"/>
  <c r="Q28" i="2"/>
  <c r="Q27" i="2"/>
  <c r="Q26" i="2"/>
  <c r="Q25" i="2"/>
  <c r="AB25" i="2" s="1"/>
  <c r="AA25" i="2" s="1"/>
  <c r="Q24" i="2"/>
  <c r="X24" i="2" s="1"/>
  <c r="Q23" i="2"/>
  <c r="Q22" i="2"/>
  <c r="Q21" i="2"/>
  <c r="Q20" i="2"/>
  <c r="AB20" i="2" s="1"/>
  <c r="AA20" i="2" s="1"/>
  <c r="Q19" i="2"/>
  <c r="AB19" i="2" s="1"/>
  <c r="AA19" i="2" s="1"/>
  <c r="Q18" i="2"/>
  <c r="Q17" i="2"/>
  <c r="Q16" i="2"/>
  <c r="I41" i="2"/>
  <c r="I36" i="2"/>
  <c r="I31" i="2"/>
  <c r="I26" i="2"/>
  <c r="I21" i="2"/>
  <c r="H16" i="2"/>
  <c r="I16" i="2" s="1"/>
  <c r="H45" i="2"/>
  <c r="H44" i="2"/>
  <c r="H40" i="2"/>
  <c r="H39" i="2"/>
  <c r="H35" i="2"/>
  <c r="H34" i="2"/>
  <c r="H30" i="2"/>
  <c r="H29" i="2"/>
  <c r="H25" i="2"/>
  <c r="I25" i="2" s="1"/>
  <c r="H24" i="2"/>
  <c r="H20" i="2"/>
  <c r="H19" i="2"/>
  <c r="T44" i="2"/>
  <c r="X44" i="2"/>
  <c r="Z44" i="2" s="1"/>
  <c r="AB44" i="2"/>
  <c r="AA44" i="2" s="1"/>
  <c r="T45" i="2"/>
  <c r="AB43" i="2" l="1"/>
  <c r="AA43" i="2" s="1"/>
  <c r="X43" i="2"/>
  <c r="AB42" i="2"/>
  <c r="AA42" i="2" s="1"/>
  <c r="AB41" i="2"/>
  <c r="AA41" i="2" s="1"/>
  <c r="X42" i="2"/>
  <c r="X41" i="2"/>
  <c r="Z41" i="2" s="1"/>
  <c r="AB38" i="2"/>
  <c r="AA38" i="2" s="1"/>
  <c r="X38" i="2"/>
  <c r="X37" i="2"/>
  <c r="X36" i="2"/>
  <c r="AB37" i="2"/>
  <c r="AA37" i="2" s="1"/>
  <c r="AB36" i="2"/>
  <c r="AA36" i="2" s="1"/>
  <c r="X33" i="2"/>
  <c r="Z33" i="2" s="1"/>
  <c r="AB33" i="2"/>
  <c r="AA33" i="2" s="1"/>
  <c r="AB31" i="2"/>
  <c r="AA31" i="2" s="1"/>
  <c r="X32" i="2"/>
  <c r="Z32" i="2" s="1"/>
  <c r="AB32" i="2"/>
  <c r="AA32" i="2" s="1"/>
  <c r="X31" i="2"/>
  <c r="Y31" i="2" s="1"/>
  <c r="AB28" i="2"/>
  <c r="AA28" i="2" s="1"/>
  <c r="X28" i="2"/>
  <c r="X26" i="2"/>
  <c r="X27" i="2"/>
  <c r="AB27" i="2"/>
  <c r="AA27" i="2" s="1"/>
  <c r="X21" i="2"/>
  <c r="Y21" i="2" s="1"/>
  <c r="X18" i="2"/>
  <c r="AB18" i="2"/>
  <c r="AA18" i="2" s="1"/>
  <c r="X16" i="2"/>
  <c r="Y16" i="2" s="1"/>
  <c r="X25" i="2"/>
  <c r="Z25" i="2" s="1"/>
  <c r="Y39" i="2"/>
  <c r="Z39" i="2"/>
  <c r="Z24" i="2"/>
  <c r="Y24" i="2"/>
  <c r="Y40" i="2"/>
  <c r="Z40" i="2"/>
  <c r="AB39" i="2"/>
  <c r="AA39" i="2" s="1"/>
  <c r="X34" i="2"/>
  <c r="Y41" i="2"/>
  <c r="AB24" i="2"/>
  <c r="AA24" i="2" s="1"/>
  <c r="AB40" i="2"/>
  <c r="AA40" i="2" s="1"/>
  <c r="X19" i="2"/>
  <c r="X35" i="2"/>
  <c r="X20" i="2"/>
  <c r="X29" i="2"/>
  <c r="X30" i="2"/>
  <c r="I45" i="2"/>
  <c r="Y44" i="2"/>
  <c r="AC44" i="2" s="1"/>
  <c r="I44" i="2"/>
  <c r="I40" i="2"/>
  <c r="I39" i="2"/>
  <c r="I35" i="2"/>
  <c r="I34" i="2"/>
  <c r="I30" i="2"/>
  <c r="I29" i="2"/>
  <c r="I24" i="2"/>
  <c r="I20" i="2"/>
  <c r="I19" i="2"/>
  <c r="Q45" i="2"/>
  <c r="Y32" i="2" l="1"/>
  <c r="AC41" i="2"/>
  <c r="Y33" i="2"/>
  <c r="AC33" i="2" s="1"/>
  <c r="Z31" i="2"/>
  <c r="Y25" i="2"/>
  <c r="AC25" i="2" s="1"/>
  <c r="AC24" i="2"/>
  <c r="Z21" i="2"/>
  <c r="Z30" i="2"/>
  <c r="Y30" i="2"/>
  <c r="AC30" i="2" s="1"/>
  <c r="Z20" i="2"/>
  <c r="Y20" i="2"/>
  <c r="AC20" i="2" s="1"/>
  <c r="Z38" i="2"/>
  <c r="Y38" i="2"/>
  <c r="AC38" i="2" s="1"/>
  <c r="AC39" i="2"/>
  <c r="Z18" i="2"/>
  <c r="Y18" i="2"/>
  <c r="AC18" i="2" s="1"/>
  <c r="Z43" i="2"/>
  <c r="Y43" i="2"/>
  <c r="AC43" i="2" s="1"/>
  <c r="Z37" i="2"/>
  <c r="Y37" i="2"/>
  <c r="AC37" i="2" s="1"/>
  <c r="Z26" i="2"/>
  <c r="Y26" i="2"/>
  <c r="AC40" i="2"/>
  <c r="AC31" i="2"/>
  <c r="Z35" i="2"/>
  <c r="Y35" i="2"/>
  <c r="AC35" i="2" s="1"/>
  <c r="Z27" i="2"/>
  <c r="Y27" i="2"/>
  <c r="AC27" i="2" s="1"/>
  <c r="Z19" i="2"/>
  <c r="Y19" i="2"/>
  <c r="AC19" i="2" s="1"/>
  <c r="Z42" i="2"/>
  <c r="Y42" i="2"/>
  <c r="AC42" i="2" s="1"/>
  <c r="Z36" i="2"/>
  <c r="Y36" i="2"/>
  <c r="AC36" i="2" s="1"/>
  <c r="Z28" i="2"/>
  <c r="Y28" i="2"/>
  <c r="AC28" i="2" s="1"/>
  <c r="Z29" i="2"/>
  <c r="Y29" i="2"/>
  <c r="AC29" i="2" s="1"/>
  <c r="Z34" i="2"/>
  <c r="Y34" i="2"/>
  <c r="AC34" i="2" s="1"/>
  <c r="AC32" i="2"/>
  <c r="Z16" i="2"/>
  <c r="X17" i="2" s="1"/>
  <c r="Z17" i="2" s="1"/>
  <c r="X45" i="2"/>
  <c r="AB45" i="2"/>
  <c r="AA45" i="2" s="1"/>
  <c r="X22" i="2" l="1"/>
  <c r="Z22" i="2" s="1"/>
  <c r="X23" i="2" s="1"/>
  <c r="Y17" i="2"/>
  <c r="Z45" i="2"/>
  <c r="Y45" i="2"/>
  <c r="AC45" i="2" s="1"/>
  <c r="Z23" i="2" l="1"/>
  <c r="Y23" i="2"/>
  <c r="Y22" i="2"/>
  <c r="AD31" i="2"/>
  <c r="AD41" i="2"/>
  <c r="AD36"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H210" i="6"/>
  <c r="B223" i="6"/>
  <c r="B221" i="6"/>
  <c r="B222" i="6"/>
  <c r="K45" i="2" l="1"/>
  <c r="L45" i="2" s="1"/>
  <c r="M45" i="2" s="1"/>
  <c r="K40" i="2"/>
  <c r="L40" i="2" s="1"/>
  <c r="M40" i="2" s="1"/>
  <c r="K44" i="2"/>
  <c r="L44" i="2" s="1"/>
  <c r="K35" i="2"/>
  <c r="L35" i="2" s="1"/>
  <c r="M35" i="2" s="1"/>
  <c r="K39" i="2"/>
  <c r="L39" i="2" s="1"/>
  <c r="K30" i="2"/>
  <c r="L30" i="2" s="1"/>
  <c r="M30" i="2" s="1"/>
  <c r="K34" i="2"/>
  <c r="L34" i="2" s="1"/>
  <c r="K25" i="2"/>
  <c r="L25" i="2" s="1"/>
  <c r="N25" i="2" s="1"/>
  <c r="K29" i="2"/>
  <c r="L29" i="2" s="1"/>
  <c r="K20" i="2"/>
  <c r="L20" i="2" s="1"/>
  <c r="M20" i="2" s="1"/>
  <c r="K24" i="2"/>
  <c r="L24" i="2" s="1"/>
  <c r="K19" i="2"/>
  <c r="L19" i="2" s="1"/>
  <c r="M19" i="2" s="1"/>
  <c r="L34" i="3"/>
  <c r="J12" i="3"/>
  <c r="N45" i="2" l="1"/>
  <c r="N40" i="2"/>
  <c r="M44" i="2"/>
  <c r="N44" i="2"/>
  <c r="N35" i="2"/>
  <c r="M39" i="2"/>
  <c r="N39" i="2"/>
  <c r="N30" i="2"/>
  <c r="M34" i="2"/>
  <c r="N34" i="2"/>
  <c r="M25" i="2"/>
  <c r="M29" i="2"/>
  <c r="N29" i="2"/>
  <c r="N20" i="2"/>
  <c r="M24" i="2"/>
  <c r="N24" i="2"/>
  <c r="N19" i="2"/>
  <c r="AF54" i="4"/>
  <c r="AI54" i="4"/>
  <c r="L32" i="4"/>
  <c r="L54" i="4"/>
  <c r="AB52" i="4"/>
  <c r="AB54" i="4"/>
  <c r="Y48" i="4"/>
  <c r="AA48" i="4"/>
  <c r="U30" i="4"/>
  <c r="Y52" i="4"/>
  <c r="AA52" i="4"/>
  <c r="U54" i="4"/>
  <c r="M24" i="4"/>
  <c r="U46" i="4"/>
  <c r="AH20" i="3"/>
  <c r="AF10" i="3"/>
  <c r="V12" i="3"/>
  <c r="V28" i="3"/>
  <c r="P36" i="3"/>
  <c r="Z34" i="3"/>
  <c r="AH26" i="3"/>
  <c r="T10" i="3"/>
  <c r="V20" i="3"/>
  <c r="AB26" i="3"/>
  <c r="AL18" i="3"/>
  <c r="AH28" i="3"/>
  <c r="P26" i="3"/>
  <c r="AB36" i="3"/>
  <c r="AH36" i="3"/>
  <c r="J20" i="3"/>
  <c r="J18" i="3"/>
  <c r="N42" i="3"/>
  <c r="AH44" i="3"/>
  <c r="AH42" i="3"/>
  <c r="P34" i="3"/>
  <c r="J34" i="3"/>
  <c r="AB42" i="3"/>
  <c r="J36" i="3"/>
  <c r="L26" i="3"/>
  <c r="L18" i="3"/>
  <c r="AJ34" i="3"/>
  <c r="V36" i="3"/>
  <c r="V18" i="3"/>
  <c r="AH10" i="3"/>
  <c r="AB18" i="3"/>
  <c r="AL10" i="3"/>
  <c r="Z10" i="3"/>
  <c r="AL42" i="3"/>
  <c r="J44" i="3"/>
  <c r="AB28" i="3"/>
  <c r="V44" i="3"/>
  <c r="AL26" i="3"/>
  <c r="N34" i="3"/>
  <c r="AF42" i="3"/>
  <c r="T34" i="3"/>
  <c r="Z42" i="3"/>
  <c r="L42" i="3"/>
  <c r="R10" i="3"/>
  <c r="AJ42" i="3"/>
  <c r="X42" i="3"/>
  <c r="R18" i="3"/>
  <c r="X26" i="3"/>
  <c r="AJ26" i="3"/>
  <c r="X18" i="3"/>
  <c r="X10" i="3"/>
  <c r="AB20" i="3"/>
  <c r="AB12" i="3"/>
  <c r="AB44" i="3"/>
  <c r="P44" i="3"/>
  <c r="J28" i="3"/>
  <c r="AH12" i="3"/>
  <c r="N10" i="3"/>
  <c r="P10" i="3"/>
  <c r="AH34" i="3"/>
  <c r="AH18" i="3"/>
  <c r="P42" i="3"/>
  <c r="AB34" i="3"/>
  <c r="V42" i="3"/>
  <c r="N26" i="3"/>
  <c r="V10" i="3"/>
  <c r="AF34" i="3"/>
  <c r="AF18" i="3"/>
  <c r="Z18" i="3"/>
  <c r="T18" i="3"/>
  <c r="T42" i="3"/>
  <c r="V34" i="3"/>
  <c r="P18" i="3"/>
  <c r="J10" i="3"/>
  <c r="J26" i="3"/>
  <c r="AB10" i="3"/>
  <c r="J42" i="3"/>
  <c r="N18" i="3"/>
  <c r="AF26" i="3"/>
  <c r="Z26" i="3"/>
  <c r="T26" i="3"/>
  <c r="AL34" i="3"/>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AE50" i="4"/>
  <c r="S50" i="4"/>
  <c r="AK50" i="4"/>
  <c r="M50" i="4"/>
  <c r="AE40" i="4"/>
  <c r="S40" i="4"/>
  <c r="Y50" i="4"/>
  <c r="AK40" i="4"/>
  <c r="Y40" i="4"/>
  <c r="M40" i="4"/>
  <c r="AK30" i="4"/>
  <c r="AE30" i="4"/>
  <c r="S30" i="4"/>
  <c r="Y30" i="4"/>
  <c r="M30" i="4"/>
  <c r="AK20" i="4"/>
  <c r="Y20" i="4"/>
  <c r="M20" i="4"/>
  <c r="AK10" i="4"/>
  <c r="AE10" i="4"/>
  <c r="S10" i="4"/>
  <c r="S20" i="4"/>
  <c r="AE20" i="4"/>
  <c r="Y10" i="4"/>
  <c r="M10" i="4"/>
  <c r="Z54" i="4"/>
  <c r="N44" i="4"/>
  <c r="T44" i="4"/>
  <c r="T34" i="4"/>
  <c r="AF44" i="4"/>
  <c r="Z34" i="4"/>
  <c r="Z24" i="4"/>
  <c r="AL14" i="4"/>
  <c r="N14" i="4"/>
  <c r="AF24" i="4"/>
  <c r="AF14" i="4"/>
  <c r="N34" i="4"/>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W54" i="4"/>
  <c r="K54" i="4"/>
  <c r="K44" i="4"/>
  <c r="Q54" i="4"/>
  <c r="Q34" i="4"/>
  <c r="W34" i="4"/>
  <c r="AC14" i="4"/>
  <c r="Q14" i="4"/>
  <c r="W24" i="4"/>
  <c r="AI14" i="4"/>
  <c r="AD26" i="3"/>
  <c r="AD10" i="3"/>
  <c r="AD18" i="3"/>
  <c r="AJ10" i="3"/>
  <c r="R34" i="3"/>
  <c r="AD34" i="3"/>
  <c r="AJ18" i="3"/>
  <c r="L10" i="3"/>
  <c r="R26" i="3"/>
  <c r="R42" i="3"/>
  <c r="AD42" i="3"/>
  <c r="X34" i="3"/>
  <c r="V26" i="3"/>
  <c r="P28" i="3"/>
  <c r="P12" i="3"/>
  <c r="P20" i="3"/>
  <c r="P49" i="4" l="1"/>
  <c r="AB51" i="4"/>
  <c r="T14" i="4"/>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V30" i="4"/>
  <c r="AB40" i="4"/>
  <c r="P50" i="4"/>
  <c r="AB10" i="4"/>
  <c r="J20" i="4"/>
  <c r="V50" i="4"/>
  <c r="J10" i="4"/>
  <c r="AH20" i="4"/>
  <c r="V40" i="4"/>
  <c r="P30" i="4"/>
  <c r="AB20" i="4"/>
  <c r="V20" i="4"/>
  <c r="AB30" i="4"/>
  <c r="J40" i="4"/>
  <c r="AH50" i="4"/>
  <c r="P10" i="4"/>
  <c r="V10" i="4"/>
  <c r="AH10" i="4"/>
  <c r="J30" i="4"/>
  <c r="P40" i="4"/>
  <c r="AH40" i="4"/>
  <c r="U36" i="4"/>
  <c r="AM16" i="4"/>
  <c r="O6" i="4"/>
  <c r="AA46" i="4"/>
  <c r="AG16" i="4"/>
  <c r="AM46" i="4"/>
  <c r="AG6" i="4"/>
  <c r="AG26" i="4"/>
  <c r="AA6" i="4"/>
  <c r="AG36" i="4"/>
  <c r="AA26" i="4"/>
  <c r="O16" i="4"/>
  <c r="O36" i="4"/>
  <c r="AG46" i="4"/>
  <c r="AM26" i="4"/>
  <c r="O26" i="4"/>
  <c r="U16" i="4"/>
  <c r="AA36" i="4"/>
  <c r="O46" i="4"/>
  <c r="U6" i="4"/>
  <c r="AA16" i="4"/>
  <c r="AM6" i="4"/>
  <c r="U26" i="4"/>
  <c r="AM36" i="4"/>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V51" i="4"/>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C53" i="4"/>
  <c r="Q53" i="4"/>
  <c r="AI53" i="4"/>
  <c r="K53" i="4"/>
  <c r="AC43" i="4"/>
  <c r="Q43" i="4"/>
  <c r="W53" i="4"/>
  <c r="AI43" i="4"/>
  <c r="W43" i="4"/>
  <c r="K43" i="4"/>
  <c r="AI33" i="4"/>
  <c r="W33" i="4"/>
  <c r="K33" i="4"/>
  <c r="AC33" i="4"/>
  <c r="Q33" i="4"/>
  <c r="AI23" i="4"/>
  <c r="W23" i="4"/>
  <c r="K23" i="4"/>
  <c r="AI13" i="4"/>
  <c r="W13" i="4"/>
  <c r="K13" i="4"/>
  <c r="AC23" i="4"/>
  <c r="Q13" i="4"/>
  <c r="Q23" i="4"/>
  <c r="AC13"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AB31" i="4" l="1"/>
  <c r="J51" i="4"/>
  <c r="P31" i="4"/>
  <c r="J31" i="4"/>
  <c r="V31" i="4"/>
  <c r="AH11" i="4"/>
  <c r="P21" i="4"/>
  <c r="AH41" i="4"/>
  <c r="J21" i="4"/>
  <c r="AB21" i="4"/>
  <c r="P41" i="4"/>
  <c r="J11" i="4"/>
  <c r="V21" i="4"/>
  <c r="P11" i="4"/>
  <c r="V41" i="4"/>
  <c r="AH31" i="4"/>
  <c r="AB41" i="4"/>
  <c r="AH51" i="4"/>
  <c r="V11" i="4"/>
  <c r="AH21" i="4"/>
  <c r="AB11" i="4"/>
  <c r="J41" i="4"/>
  <c r="P51" i="4"/>
  <c r="AC7" i="4"/>
  <c r="W27" i="4"/>
  <c r="Q27" i="4"/>
  <c r="W17" i="4"/>
  <c r="Q37" i="4"/>
  <c r="AI47" i="4"/>
  <c r="AC27" i="4"/>
  <c r="K17" i="4"/>
  <c r="AI27" i="4"/>
  <c r="AI37" i="4"/>
  <c r="W7" i="4"/>
  <c r="Q7" i="4"/>
  <c r="AI17" i="4"/>
  <c r="K37" i="4"/>
  <c r="W47" i="4"/>
  <c r="K7" i="4"/>
  <c r="AC17" i="4"/>
  <c r="Q17" i="4"/>
  <c r="K27" i="4"/>
  <c r="AC37" i="4"/>
  <c r="K47" i="4"/>
  <c r="R27" i="4"/>
  <c r="AH9" i="4"/>
  <c r="AB49" i="4"/>
  <c r="V49" i="4"/>
  <c r="AH49" i="4"/>
  <c r="AH19" i="4"/>
  <c r="AB9" i="4"/>
  <c r="P29" i="4"/>
  <c r="V19" i="4"/>
  <c r="J39" i="4"/>
  <c r="P9" i="4"/>
  <c r="V29" i="4"/>
  <c r="V39" i="4"/>
  <c r="AB19" i="4"/>
  <c r="P39" i="4"/>
  <c r="J9" i="4"/>
  <c r="J19" i="4"/>
  <c r="AH29" i="4"/>
  <c r="AB29" i="4"/>
  <c r="J49" i="4"/>
  <c r="V9" i="4"/>
  <c r="AH39" i="4"/>
  <c r="J29" i="4"/>
  <c r="P19" i="4"/>
  <c r="AB39" i="4"/>
  <c r="AD10" i="4" l="1"/>
  <c r="R6" i="4"/>
  <c r="AJ6" i="4"/>
  <c r="AD51" i="4"/>
  <c r="R41" i="4"/>
  <c r="AJ11" i="4"/>
  <c r="R11" i="4"/>
  <c r="R51" i="4"/>
  <c r="X41" i="4"/>
  <c r="AD41" i="4"/>
  <c r="AJ21" i="4"/>
  <c r="X11" i="4"/>
  <c r="R21" i="4"/>
  <c r="X21" i="4"/>
  <c r="AJ51" i="4"/>
  <c r="L41" i="4"/>
  <c r="AD31" i="4"/>
  <c r="L11" i="4"/>
  <c r="AD11" i="4"/>
  <c r="L51" i="4"/>
  <c r="X51" i="4"/>
  <c r="R31" i="4"/>
  <c r="L21" i="4"/>
  <c r="L31" i="4"/>
  <c r="X31" i="4"/>
  <c r="AJ41" i="4"/>
  <c r="AJ31" i="4"/>
  <c r="AD21" i="4"/>
  <c r="AC51" i="4"/>
  <c r="K31" i="4"/>
  <c r="K11" i="4"/>
  <c r="Q51" i="4"/>
  <c r="AI51" i="4"/>
  <c r="K41" i="4"/>
  <c r="AC31" i="4"/>
  <c r="K21" i="4"/>
  <c r="Q11" i="4"/>
  <c r="W51" i="4"/>
  <c r="AI31" i="4"/>
  <c r="AI11" i="4"/>
  <c r="K51" i="4"/>
  <c r="Q31" i="4"/>
  <c r="Q21" i="4"/>
  <c r="AC41" i="4"/>
  <c r="AI41" i="4"/>
  <c r="W31" i="4"/>
  <c r="AI21" i="4"/>
  <c r="W11" i="4"/>
  <c r="AC11" i="4"/>
  <c r="Q41" i="4"/>
  <c r="W41" i="4"/>
  <c r="W21" i="4"/>
  <c r="AC21" i="4"/>
  <c r="AJ26" i="4"/>
  <c r="AJ16" i="4"/>
  <c r="R50" i="4"/>
  <c r="L46" i="4"/>
  <c r="R36" i="4"/>
  <c r="AD16" i="4"/>
  <c r="R16" i="4"/>
  <c r="X6" i="4"/>
  <c r="AD36" i="4"/>
  <c r="X30" i="4"/>
  <c r="AJ30" i="4"/>
  <c r="L20" i="4"/>
  <c r="X46" i="4"/>
  <c r="R26" i="4"/>
  <c r="L26" i="4"/>
  <c r="X36" i="4"/>
  <c r="L16" i="4"/>
  <c r="X16" i="4"/>
  <c r="AJ46" i="4"/>
  <c r="AJ40" i="4"/>
  <c r="R46" i="4"/>
  <c r="AD46" i="4"/>
  <c r="L6" i="4"/>
  <c r="AD6" i="4"/>
  <c r="AD26" i="4"/>
  <c r="L36" i="4"/>
  <c r="X26" i="4"/>
  <c r="AJ36" i="4"/>
  <c r="L30" i="4"/>
  <c r="X40" i="4"/>
  <c r="AD30" i="4"/>
  <c r="L40" i="4"/>
  <c r="R20" i="4"/>
  <c r="R40" i="4"/>
  <c r="AC50" i="4"/>
  <c r="AC10" i="4"/>
  <c r="Q20" i="4"/>
  <c r="K10" i="4"/>
  <c r="K50" i="4"/>
  <c r="AC20" i="4"/>
  <c r="Q10" i="4"/>
  <c r="Q50" i="4"/>
  <c r="Q40" i="4"/>
  <c r="Q30" i="4"/>
  <c r="K20" i="4"/>
  <c r="AC40" i="4"/>
  <c r="AC30" i="4"/>
  <c r="AI10" i="4"/>
  <c r="W40" i="4"/>
  <c r="AI30" i="4"/>
  <c r="AI20" i="4"/>
  <c r="AI40" i="4"/>
  <c r="K30" i="4"/>
  <c r="W10" i="4"/>
  <c r="W50" i="4"/>
  <c r="K40" i="4"/>
  <c r="W20" i="4"/>
  <c r="AI50" i="4"/>
  <c r="W30" i="4"/>
  <c r="Q38" i="4"/>
  <c r="R18" i="4"/>
  <c r="X47" i="4"/>
  <c r="L37" i="4"/>
  <c r="L17" i="4"/>
  <c r="X37" i="4"/>
  <c r="AD17" i="4"/>
  <c r="R17" i="4"/>
  <c r="AD27" i="4"/>
  <c r="R47" i="4"/>
  <c r="L47" i="4"/>
  <c r="AD47" i="4"/>
  <c r="AJ47" i="4"/>
  <c r="X27" i="4"/>
  <c r="AD37" i="4"/>
  <c r="X7" i="4"/>
  <c r="AJ27" i="4"/>
  <c r="AJ37" i="4"/>
  <c r="R37" i="4"/>
  <c r="L7" i="4"/>
  <c r="AJ7" i="4"/>
  <c r="AD7" i="4"/>
  <c r="L27" i="4"/>
  <c r="R7" i="4"/>
  <c r="X17" i="4"/>
  <c r="AJ17" i="4"/>
  <c r="R39" i="4"/>
  <c r="AI49" i="4"/>
  <c r="W49" i="4"/>
  <c r="AI29" i="4"/>
  <c r="W19" i="4"/>
  <c r="Q19" i="4"/>
  <c r="W9" i="4"/>
  <c r="W39" i="4"/>
  <c r="Q39" i="4"/>
  <c r="AI19" i="4"/>
  <c r="AI9" i="4"/>
  <c r="K49" i="4"/>
  <c r="AI39" i="4"/>
  <c r="W29" i="4"/>
  <c r="K19" i="4"/>
  <c r="Q29" i="4"/>
  <c r="K9" i="4"/>
  <c r="AC49" i="4"/>
  <c r="K29" i="4"/>
  <c r="AC9" i="4"/>
  <c r="AC29" i="4"/>
  <c r="Q49" i="4"/>
  <c r="K39" i="4"/>
  <c r="Q9" i="4"/>
  <c r="AC39" i="4"/>
  <c r="AC19" i="4"/>
  <c r="X49" i="4"/>
  <c r="AD39" i="4"/>
  <c r="M46" i="4"/>
  <c r="AK36" i="4"/>
  <c r="S26" i="4"/>
  <c r="AE16" i="4"/>
  <c r="M26" i="4"/>
  <c r="AK6" i="4"/>
  <c r="M6" i="4"/>
  <c r="Y6" i="4"/>
  <c r="AK16" i="4"/>
  <c r="M16" i="4"/>
  <c r="Y36" i="4"/>
  <c r="AE6" i="4"/>
  <c r="S46" i="4"/>
  <c r="Y46" i="4"/>
  <c r="Y26" i="4"/>
  <c r="AK26" i="4"/>
  <c r="AE26" i="4"/>
  <c r="AE46" i="4"/>
  <c r="M36" i="4"/>
  <c r="Y16" i="4"/>
  <c r="S36" i="4"/>
  <c r="AK46" i="4"/>
  <c r="S16" i="4"/>
  <c r="AE36" i="4"/>
  <c r="S6" i="4"/>
  <c r="L10" i="4" l="1"/>
  <c r="AJ10" i="4"/>
  <c r="AJ20" i="4"/>
  <c r="X20" i="4"/>
  <c r="AJ50" i="4"/>
  <c r="AD50" i="4"/>
  <c r="AD20" i="4"/>
  <c r="L50" i="4"/>
  <c r="R30" i="4"/>
  <c r="X10" i="4"/>
  <c r="R10" i="4"/>
  <c r="X50" i="4"/>
  <c r="AD40" i="4"/>
  <c r="AJ48" i="4"/>
  <c r="AJ28" i="4"/>
  <c r="X48" i="4"/>
  <c r="AJ18" i="4"/>
  <c r="AD18" i="4"/>
  <c r="L28" i="4"/>
  <c r="L18" i="4"/>
  <c r="R28" i="4"/>
  <c r="AD48" i="4"/>
  <c r="AD28" i="4"/>
  <c r="R38" i="4"/>
  <c r="L8" i="4"/>
  <c r="X8" i="4"/>
  <c r="L38" i="4"/>
  <c r="X38" i="4"/>
  <c r="AD38" i="4"/>
  <c r="X18" i="4"/>
  <c r="AD8" i="4"/>
  <c r="R48" i="4"/>
  <c r="X28" i="4"/>
  <c r="AJ8" i="4"/>
  <c r="R8" i="4"/>
  <c r="AJ38" i="4"/>
  <c r="L48" i="4"/>
  <c r="AC28" i="4"/>
  <c r="W8" i="4"/>
  <c r="AI8" i="4"/>
  <c r="Q48" i="4"/>
  <c r="AI38" i="4"/>
  <c r="K8" i="4"/>
  <c r="K48" i="4"/>
  <c r="K38" i="4"/>
  <c r="AC18" i="4"/>
  <c r="W48" i="4"/>
  <c r="AI28" i="4"/>
  <c r="AC48" i="4"/>
  <c r="K28" i="4"/>
  <c r="K18" i="4"/>
  <c r="AC8" i="4"/>
  <c r="Q28" i="4"/>
  <c r="Q18" i="4"/>
  <c r="AI48" i="4"/>
  <c r="W38" i="4"/>
  <c r="Q8" i="4"/>
  <c r="AC38" i="4"/>
  <c r="W18" i="4"/>
  <c r="AI18" i="4"/>
  <c r="W28" i="4"/>
  <c r="AD29" i="4"/>
  <c r="AD49" i="4"/>
  <c r="AJ19" i="4"/>
  <c r="AJ39" i="4"/>
  <c r="X29" i="4"/>
  <c r="L49" i="4"/>
  <c r="AJ9" i="4"/>
  <c r="AD9" i="4"/>
  <c r="L29" i="4"/>
  <c r="X39" i="4"/>
  <c r="R19" i="4"/>
  <c r="L9" i="4"/>
  <c r="X9" i="4"/>
  <c r="X19" i="4"/>
  <c r="R49" i="4"/>
  <c r="AJ49" i="4"/>
  <c r="AD19" i="4"/>
  <c r="R9" i="4"/>
  <c r="AJ29" i="4"/>
  <c r="L19" i="4"/>
  <c r="L39" i="4"/>
  <c r="R29" i="4"/>
  <c r="AK39" i="4"/>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 r="K36" i="2" l="1"/>
  <c r="L36" i="2" s="1"/>
  <c r="K41" i="2"/>
  <c r="L41" i="2" s="1"/>
  <c r="K26" i="2"/>
  <c r="L26" i="2" s="1"/>
  <c r="K31" i="2"/>
  <c r="L31" i="2" s="1"/>
  <c r="K16" i="2"/>
  <c r="K21" i="2"/>
  <c r="L21" i="2" s="1"/>
  <c r="M21" i="2" l="1"/>
  <c r="N21" i="2"/>
  <c r="M31" i="2"/>
  <c r="N31" i="2"/>
  <c r="M26" i="2"/>
  <c r="N26" i="2"/>
  <c r="N41" i="2"/>
  <c r="M41" i="2"/>
  <c r="N36" i="2"/>
  <c r="M36" i="2"/>
  <c r="AB21" i="2"/>
  <c r="N6" i="3"/>
  <c r="L16" i="2"/>
  <c r="N16" i="2" s="1"/>
  <c r="N24" i="3"/>
  <c r="N16" i="3"/>
  <c r="N32" i="3"/>
  <c r="AL16" i="3"/>
  <c r="Z32" i="3"/>
  <c r="AF32" i="3"/>
  <c r="Z24" i="3"/>
  <c r="N8" i="3"/>
  <c r="AF16" i="3"/>
  <c r="N40" i="3"/>
  <c r="AL8" i="3"/>
  <c r="AL40" i="3"/>
  <c r="AF40" i="3"/>
  <c r="T32" i="3"/>
  <c r="T40" i="3"/>
  <c r="T16" i="3"/>
  <c r="Z8" i="3"/>
  <c r="AF24" i="3"/>
  <c r="AL32" i="3"/>
  <c r="Z16" i="3"/>
  <c r="T24" i="3"/>
  <c r="T8" i="3"/>
  <c r="AL24" i="3"/>
  <c r="AF8" i="3"/>
  <c r="Z40" i="3"/>
  <c r="P40" i="3"/>
  <c r="P16" i="3"/>
  <c r="P8" i="3"/>
  <c r="V40" i="3"/>
  <c r="V32" i="3"/>
  <c r="AB8" i="3"/>
  <c r="V16" i="3"/>
  <c r="J8" i="3"/>
  <c r="AB40" i="3"/>
  <c r="V24" i="3"/>
  <c r="P32" i="3"/>
  <c r="AB16" i="3"/>
  <c r="J40" i="3"/>
  <c r="J16" i="3"/>
  <c r="AH32" i="3"/>
  <c r="AH24" i="3"/>
  <c r="AH8" i="3"/>
  <c r="V8" i="3"/>
  <c r="J32" i="3"/>
  <c r="J24" i="3"/>
  <c r="AB32" i="3"/>
  <c r="AH16" i="3"/>
  <c r="P24" i="3"/>
  <c r="AH40" i="3"/>
  <c r="AB24" i="3"/>
  <c r="X38" i="3"/>
  <c r="R6" i="3"/>
  <c r="L6" i="3"/>
  <c r="L14" i="3"/>
  <c r="L30" i="3"/>
  <c r="R30" i="3"/>
  <c r="AD14" i="3"/>
  <c r="L38" i="3"/>
  <c r="AJ22" i="3"/>
  <c r="R14" i="3"/>
  <c r="X30" i="3"/>
  <c r="AD38" i="3"/>
  <c r="X14" i="3"/>
  <c r="R38" i="3"/>
  <c r="AJ14" i="3"/>
  <c r="AD30" i="3"/>
  <c r="L22" i="3"/>
  <c r="AJ30" i="3"/>
  <c r="AD22" i="3"/>
  <c r="R22" i="3"/>
  <c r="X6" i="3"/>
  <c r="AJ6" i="3"/>
  <c r="AD6" i="3"/>
  <c r="X22" i="3"/>
  <c r="AJ38" i="3"/>
  <c r="AB23" i="2" l="1"/>
  <c r="AA23" i="2" s="1"/>
  <c r="AB22" i="2"/>
  <c r="AA22" i="2" s="1"/>
  <c r="AA21" i="2"/>
  <c r="J38" i="3"/>
  <c r="V6" i="3"/>
  <c r="AH14" i="3"/>
  <c r="AB38" i="3"/>
  <c r="AH22" i="3"/>
  <c r="AH30" i="3"/>
  <c r="P30" i="3"/>
  <c r="J30" i="3"/>
  <c r="AB22" i="3"/>
  <c r="AL30" i="3"/>
  <c r="AL22" i="3"/>
  <c r="T30" i="3"/>
  <c r="AF30" i="3"/>
  <c r="AF22" i="3"/>
  <c r="Z14" i="3"/>
  <c r="N14" i="3"/>
  <c r="AF6" i="3"/>
  <c r="AL38" i="3"/>
  <c r="T14" i="3"/>
  <c r="T6" i="3"/>
  <c r="Z38" i="3"/>
  <c r="T38" i="3"/>
  <c r="Z22" i="3"/>
  <c r="AL6" i="3"/>
  <c r="AF38" i="3"/>
  <c r="N30" i="3"/>
  <c r="AL14" i="3"/>
  <c r="N22" i="3"/>
  <c r="Z6" i="3"/>
  <c r="AF14" i="3"/>
  <c r="T22" i="3"/>
  <c r="N38" i="3"/>
  <c r="L24" i="3"/>
  <c r="AJ32" i="3"/>
  <c r="Z30" i="3"/>
  <c r="AB26" i="2"/>
  <c r="AA26" i="2" s="1"/>
  <c r="X24" i="3"/>
  <c r="X8" i="3"/>
  <c r="R32" i="3"/>
  <c r="L8" i="3"/>
  <c r="AJ40" i="3"/>
  <c r="AD32" i="3"/>
  <c r="AJ8" i="3"/>
  <c r="L16" i="3"/>
  <c r="L32" i="3"/>
  <c r="X16" i="3"/>
  <c r="AD24" i="3"/>
  <c r="M16" i="2"/>
  <c r="AJ24" i="3"/>
  <c r="AD16" i="3"/>
  <c r="R24" i="3"/>
  <c r="AD8" i="3"/>
  <c r="R8" i="3"/>
  <c r="R40" i="3"/>
  <c r="R16" i="3"/>
  <c r="AJ16" i="3"/>
  <c r="X32" i="3"/>
  <c r="X40" i="3"/>
  <c r="AD40" i="3"/>
  <c r="L40" i="3"/>
  <c r="J22" i="3"/>
  <c r="P22" i="3"/>
  <c r="AB14" i="3"/>
  <c r="AH6" i="3"/>
  <c r="V38" i="3"/>
  <c r="AB6" i="3"/>
  <c r="V14" i="3"/>
  <c r="V30" i="3"/>
  <c r="AH38" i="3"/>
  <c r="P38" i="3"/>
  <c r="V22" i="3"/>
  <c r="AB30" i="3"/>
  <c r="P6" i="3"/>
  <c r="J14" i="3"/>
  <c r="P14" i="3"/>
  <c r="J6" i="3"/>
  <c r="AB16" i="2" l="1"/>
  <c r="AB17" i="2" s="1"/>
  <c r="AA17" i="2" s="1"/>
  <c r="AC21" i="2"/>
  <c r="J47" i="4"/>
  <c r="AH27" i="4"/>
  <c r="J27" i="4"/>
  <c r="AB37" i="4"/>
  <c r="AB27" i="4"/>
  <c r="AB17" i="4"/>
  <c r="V47" i="4"/>
  <c r="V37" i="4"/>
  <c r="P27" i="4"/>
  <c r="P47" i="4"/>
  <c r="AH37" i="4"/>
  <c r="V27" i="4"/>
  <c r="AH7" i="4"/>
  <c r="AH17" i="4"/>
  <c r="AB47" i="4"/>
  <c r="P17" i="4"/>
  <c r="J17" i="4"/>
  <c r="J37" i="4"/>
  <c r="V17" i="4"/>
  <c r="J7" i="4"/>
  <c r="P37" i="4"/>
  <c r="P7" i="4"/>
  <c r="AH47" i="4"/>
  <c r="AB7" i="4"/>
  <c r="V7" i="4"/>
  <c r="AC26" i="2"/>
  <c r="AD26" i="2" s="1"/>
  <c r="J18" i="4"/>
  <c r="V48" i="4"/>
  <c r="J8" i="4"/>
  <c r="P18" i="4"/>
  <c r="V18" i="4"/>
  <c r="V28" i="4"/>
  <c r="P48" i="4"/>
  <c r="AH18" i="4"/>
  <c r="AB8" i="4"/>
  <c r="AB18" i="4"/>
  <c r="V8" i="4"/>
  <c r="AH38" i="4"/>
  <c r="P8" i="4"/>
  <c r="AB38" i="4"/>
  <c r="J38" i="4"/>
  <c r="AH28" i="4"/>
  <c r="AB28" i="4"/>
  <c r="AB48" i="4"/>
  <c r="AH8" i="4"/>
  <c r="J48" i="4"/>
  <c r="V38" i="4"/>
  <c r="P38" i="4"/>
  <c r="J28" i="4"/>
  <c r="AH48" i="4"/>
  <c r="P28" i="4"/>
  <c r="AC22" i="2"/>
  <c r="T27" i="4"/>
  <c r="AF7" i="4"/>
  <c r="T37" i="4"/>
  <c r="Z27" i="4"/>
  <c r="N7" i="4"/>
  <c r="Z7" i="4"/>
  <c r="AF37" i="4"/>
  <c r="AL27" i="4"/>
  <c r="N37" i="4"/>
  <c r="N17" i="4"/>
  <c r="AF27" i="4"/>
  <c r="Z47" i="4"/>
  <c r="AL17" i="4"/>
  <c r="AL7" i="4"/>
  <c r="Z17" i="4"/>
  <c r="AF47" i="4"/>
  <c r="N27" i="4"/>
  <c r="AL47" i="4"/>
  <c r="T47" i="4"/>
  <c r="Z37" i="4"/>
  <c r="AL37" i="4"/>
  <c r="N47" i="4"/>
  <c r="T17" i="4"/>
  <c r="AF17" i="4"/>
  <c r="T7" i="4"/>
  <c r="AC23" i="2"/>
  <c r="AM17" i="4"/>
  <c r="O7" i="4"/>
  <c r="AG7" i="4"/>
  <c r="AG17" i="4"/>
  <c r="AA47" i="4"/>
  <c r="AA7" i="4"/>
  <c r="AA27" i="4"/>
  <c r="AG27" i="4"/>
  <c r="AM7" i="4"/>
  <c r="U27" i="4"/>
  <c r="AG47" i="4"/>
  <c r="U7" i="4"/>
  <c r="O47" i="4"/>
  <c r="U17" i="4"/>
  <c r="AG37" i="4"/>
  <c r="U47" i="4"/>
  <c r="O37" i="4"/>
  <c r="AM47" i="4"/>
  <c r="O27" i="4"/>
  <c r="AA37" i="4"/>
  <c r="AM37" i="4"/>
  <c r="O17" i="4"/>
  <c r="AM27" i="4"/>
  <c r="U37" i="4"/>
  <c r="AA17" i="4"/>
  <c r="AD21" i="2" l="1"/>
  <c r="AC17" i="2"/>
  <c r="Q46" i="4"/>
  <c r="K16" i="4"/>
  <c r="AC6" i="4"/>
  <c r="AC26" i="4"/>
  <c r="K26" i="4"/>
  <c r="K46" i="4"/>
  <c r="AI46" i="4"/>
  <c r="K6" i="4"/>
  <c r="AC16" i="4"/>
  <c r="AI6" i="4"/>
  <c r="W6" i="4"/>
  <c r="Q6" i="4"/>
  <c r="AI16" i="4"/>
  <c r="K36" i="4"/>
  <c r="Q26" i="4"/>
  <c r="AC36" i="4"/>
  <c r="W26" i="4"/>
  <c r="W16" i="4"/>
  <c r="AI26" i="4"/>
  <c r="AC46" i="4"/>
  <c r="W46" i="4"/>
  <c r="Q36" i="4"/>
  <c r="AI36" i="4"/>
  <c r="W36" i="4"/>
  <c r="Q16" i="4"/>
  <c r="AA16" i="2"/>
  <c r="V16" i="4" l="1"/>
  <c r="J46" i="4"/>
  <c r="J16" i="4"/>
  <c r="AB6" i="4"/>
  <c r="AC16" i="2"/>
  <c r="AD16" i="2" s="1"/>
  <c r="P46" i="4"/>
  <c r="AH36" i="4"/>
  <c r="V36" i="4"/>
  <c r="AB26" i="4"/>
  <c r="P6" i="4"/>
  <c r="AB46" i="4"/>
  <c r="P36" i="4"/>
  <c r="AH26" i="4"/>
  <c r="V6" i="4"/>
  <c r="J36" i="4"/>
  <c r="V46" i="4"/>
  <c r="J6" i="4"/>
  <c r="J26" i="4"/>
  <c r="P26" i="4"/>
  <c r="AH16" i="4"/>
  <c r="AH46" i="4"/>
  <c r="AB36" i="4"/>
  <c r="V26" i="4"/>
  <c r="AH6" i="4"/>
  <c r="P16" i="4"/>
  <c r="AB16" i="4"/>
</calcChain>
</file>

<file path=xl/sharedStrings.xml><?xml version="1.0" encoding="utf-8"?>
<sst xmlns="http://schemas.openxmlformats.org/spreadsheetml/2006/main" count="378" uniqueCount="258">
  <si>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</si>
  <si>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</si>
  <si>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</si>
  <si>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</si>
  <si>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</si>
  <si>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</si>
  <si>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</si>
  <si>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</si>
  <si>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</si>
  <si>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</si>
  <si>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</si>
  <si>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</si>
  <si>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</si>
  <si>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</si>
  <si>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</si>
  <si>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</si>
  <si>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</si>
  <si>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</si>
  <si>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</si>
  <si>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</si>
  <si>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</si>
  <si>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</si>
  <si>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</si>
  <si>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</si>
  <si>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</si>
  <si>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</si>
  <si>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</si>
  <si>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</si>
  <si>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</si>
  <si>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</si>
  <si>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</si>
  <si>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</si>
  <si>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</si>
  <si>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</si>
  <si>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</si>
  <si>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</si>
  <si>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</si>
  <si>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</si>
  <si>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</si>
  <si>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</si>
  <si>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</si>
  <si>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</si>
  <si>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</si>
  <si>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</si>
  <si>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</si>
  <si>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</si>
  <si>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</si>
  <si>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</si>
  <si>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</si>
  <si>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</si>
  <si>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</si>
  <si>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</si>
  <si>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</si>
  <si>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</si>
  <si>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</si>
  <si>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</si>
  <si>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</si>
  <si>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</si>
  <si>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</si>
  <si>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</si>
  <si>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</si>
  <si>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</si>
  <si>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</si>
  <si>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</si>
  <si>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</si>
  <si>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</si>
  <si>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</si>
  <si>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</si>
  <si>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</si>
  <si>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</si>
  <si>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</si>
  <si>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</si>
  <si>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</si>
  <si>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</si>
  <si>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</si>
  <si>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</si>
  <si>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</si>
  <si>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</si>
  <si>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</si>
  <si>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</si>
  <si>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</si>
  <si>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</si>
  <si>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</si>
  <si>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</si>
  <si>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</si>
  <si>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</si>
  <si>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</si>
  <si>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</si>
  <si>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</si>
  <si>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</si>
  <si>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</si>
  <si>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</si>
  <si>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</si>
  <si>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</si>
  <si>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</si>
  <si>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</si>
  <si>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</si>
  <si>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</si>
  <si>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</si>
  <si>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</si>
  <si>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</si>
  <si>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</si>
  <si>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</si>
  <si>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</si>
  <si>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</si>
  <si>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</si>
  <si>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</si>
  <si>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</si>
  <si>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</si>
  <si>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</si>
  <si>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</si>
  <si>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</si>
  <si>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</si>
  <si>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</si>
  <si>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</si>
  <si>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</si>
  <si>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</si>
  <si>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</si>
  <si>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</si>
  <si>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</si>
  <si>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</si>
  <si>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</si>
  <si>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</si>
  <si>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</si>
  <si>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</si>
  <si>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</si>
  <si>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</si>
  <si>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</si>
  <si>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</si>
  <si>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</si>
  <si>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</si>
  <si>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</si>
  <si>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</si>
  <si>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</si>
  <si>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</si>
  <si>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</si>
  <si>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</si>
  <si>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</si>
  <si>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</si>
  <si>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</si>
  <si>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</si>
  <si>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</si>
  <si>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</si>
  <si>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</si>
  <si>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</si>
  <si>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</si>
  <si>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</si>
  <si>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</si>
  <si>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</si>
  <si>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</si>
  <si>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</si>
  <si>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</si>
  <si>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</si>
  <si>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</si>
  <si>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</si>
  <si>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</si>
  <si>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</si>
  <si>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</si>
  <si>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</si>
  <si>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</si>
  <si>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</si>
  <si>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</si>
  <si>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</si>
  <si>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</si>
  <si>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</si>
  <si>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</si>
  <si>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</si>
  <si>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</si>
  <si>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</si>
  <si>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</si>
  <si>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</si>
  <si>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</si>
  <si>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</si>
  <si>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</si>
  <si>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</si>
  <si>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</si>
  <si>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</si>
  <si>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</si>
  <si>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</si>
  <si>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</si>
  <si>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</si>
  <si>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</si>
  <si>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</si>
  <si>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</si>
  <si>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</si>
  <si>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</si>
  <si>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</si>
  <si>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</si>
  <si>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</si>
  <si>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</si>
  <si>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</si>
  <si>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</si>
  <si>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</si>
  <si>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</si>
  <si>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</si>
  <si>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</si>
  <si>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</si>
  <si>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</si>
  <si>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</si>
  <si>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</si>
  <si>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</si>
  <si>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</si>
  <si>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</si>
  <si>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</si>
  <si>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</si>
  <si>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</si>
  <si>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</si>
  <si>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</si>
  <si>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</si>
  <si>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</si>
  <si>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</si>
  <si>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</si>
  <si>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</si>
  <si>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</si>
  <si>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</si>
  <si>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</si>
  <si>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</si>
  <si>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</si>
  <si>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</si>
  <si>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</si>
  <si>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</si>
  <si>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</si>
  <si>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</si>
  <si>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</si>
  <si>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</si>
  <si>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</si>
  <si>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</si>
  <si>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</si>
  <si>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</si>
  <si>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</si>
  <si>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</si>
  <si>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</si>
  <si>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</si>
  <si>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</si>
  <si>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</si>
  <si>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</si>
  <si>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</si>
  <si>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</si>
  <si>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</si>
  <si>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</si>
  <si>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Zona de Riesgo Control</t>
  </si>
  <si>
    <t>02</t>
  </si>
  <si>
    <t>Planeación estratégica</t>
  </si>
  <si>
    <t>Establecer los lineamientos para la planeación y gestión institucional, a través de la formulación y seguimiento oportuno al plan de desarrollo municipal para generar confianza y legitimidad en la gobernanza y la gobernabilidad del municipio de Pasto.</t>
  </si>
  <si>
    <t>Inicia con la elaboración y definición de lineamientos y proyectos de gestión institucional, hasta el seguimiento de estas directrices.
Aplica para: definir lineamientos para la formulación, ajuste y seguimiento a las metas de plan de desarrollo; viabilización, ajuste y seguimiento de los proyectos de inversión y del Sistema General de Regalías y establecer actividades para la estrategia de rendición de cuentas de información, diálogo y responsabilidades.</t>
  </si>
  <si>
    <t xml:space="preserve">Sanciones por parte del ente de control </t>
  </si>
  <si>
    <t>Sanciones del ente de control y quejas de la ciudadanía</t>
  </si>
  <si>
    <t xml:space="preserve">Multas o sanciones por parte del ente de control
Pérdida de la imagen institucional </t>
  </si>
  <si>
    <t>Inoportuno monitoreo realizado al reporte de la información en la Plataforma Integrada de Inversión Pública PIIP.</t>
  </si>
  <si>
    <t xml:space="preserve">La información reportada del avance físico de metas no es pertinente </t>
  </si>
  <si>
    <t>Consolidación inoportuna del reporte físico y financiero de metas de productos del Plan de Desarrollo Municipal</t>
  </si>
  <si>
    <t>Posibilidad de afectación económica y reputacional por sanciones del ente de control debido al inoportuno monitoreo realizado al reporte de la información en la Plataforma Integrada de Inversión Pública PIIP.</t>
  </si>
  <si>
    <t xml:space="preserve">Posibilidad de afectación económico y reputacional por sanciones del ente de control y quejas de la ciudadanía y grupos de valor debido a que la información reportada del avance de metas del Plan de Desarrollo no es pertinente </t>
  </si>
  <si>
    <t>Posibilidad de afectación económica y reputacional por multas o sanciones por parte del ente de control y pérdida de la imagen institucional debido a la consolidación inoportuna del reporte físico y financiero de metas de productos del Plan de Desarrollo Municipal</t>
  </si>
  <si>
    <t xml:space="preserve">El equipo del Banco de proyectos mensualmente monitorea el reporte de seguimiento a los proyectos de inversión realizado en la plataforma PIIP por parte de las dependencias con el fin de que la información cumpla con los criterios de oportunidad, completitud  y calidad, comparando la información cargada en PIIP y la ejecución de gastos emitida por la Oficina de Presupuesto; consolidando dicha información en la “Matriz de monitoreo físico y financiero”. En caso de evidenciar inconsistencia en el reporte de información se generan alertas tempranas y se remiten mediante correo electrónico a las dependencias o entidades descentralizadas, con copia a Control Interno. Este control se evidencia en la matriz de monitoreo y los correos enviados. </t>
  </si>
  <si>
    <t xml:space="preserve">El profesional encargado del monitoreo, seguimiento y evaluación del PDM, anualmente, con el fin de validar la información reportada en los instrumentos de seguimiento y determinar objetivamente el nivel de cumplimiento en la vigencia y/o realizar las aclaraciones pertinentes, realiza mesas de trabajo con cada dependencia responsable de las metas programas en el Plan de Desarrollo Municipal. Este control se evidencia en el formato pe_f_022_hoja_de_captura y listado de asistencia. </t>
  </si>
  <si>
    <t>El profesional encargado del monitoreo, seguimiento y evaluación de PDM, mensualmente, con el fin de evidenciar el cumplimiento de la estructura programática, realiza una revisión del correcto diligenciamiento del instrumento de seguimiento reportado por cada dependencia, determinando objetividad y completitud de los registros administrativos e información reportada por las dependencias, el cual es comparado con el instrumento de planificación "Plan de Acción". En caso de evidenciar inconsistencia en el reporte de información se solicita el ajuste a la dependencia. Este control se evidencia en el formato hoja de captura pe_f_022 y correos electrónicos.</t>
  </si>
  <si>
    <t>El profesional encargado del monitoreo, seguimiento y evaluación del Plan de Desarrollo, mensualmente, con el fin de asegurar la entrega de información, realiza un recordatorio a las dependencias y entidades descentralizadas de la fecha límite de entrega de la información sobre avance físico y financiero de metas de producto programadas en la vigencia, en el marco del cumplimiento realizado mediante el requerimiento formal con registro administrativo "Circular anual". En caso de evidenciar inconsistencia en el reporte de información se envía un reporte a la Oficina de Control Interno informando las dependencias que han incurrido en incumplimiento con la información solicitada, reiterando la entrega del instrumento de seguimiento. Este control se evidencia en los correos electrónicos de recordatorio remitidos y correos de solicitud enviados a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</si>
</sst>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6"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
      <sz val="11"/>
      <color theme="1"/>
      <name val="Arial Narrow"/>
    </font>
    <font>
      <b/>
      <sz val="11"/>
      <color theme="1"/>
      <name val="Arial Narrow"/>
    </font>
    <font>
      <sz val="14"/>
      <color theme="1"/>
      <name val="Century Gothic"/>
      <family val="2"/>
    </font>
    <font>
      <sz val="10"/>
      <color theme="1"/>
      <name val="Century Gothic"/>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s>
  <borders count="13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style="dotted">
        <color rgb="FFE36C09"/>
      </bottom>
      <diagonal/>
    </border>
  </borders>
  <cellStyleXfs count="1">
    <xf numFmtId="0" fontId="0" fillId="0" borderId="0"/>
  </cellStyleXfs>
  <cellXfs count="340">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20" fillId="7" borderId="75" xfId="0" applyFont="1" applyFill="1" applyBorder="1" applyAlignment="1">
      <alignment horizontal="center" vertical="center" wrapText="1" readingOrder="1"/>
    </xf>
    <xf numFmtId="0" fontId="20" fillId="7" borderId="76" xfId="0" applyFont="1" applyFill="1" applyBorder="1" applyAlignment="1">
      <alignment horizontal="center" vertical="center" wrapText="1" readingOrder="1"/>
    </xf>
    <xf numFmtId="0" fontId="20" fillId="7" borderId="77" xfId="0" applyFont="1" applyFill="1" applyBorder="1" applyAlignment="1">
      <alignment horizontal="center" vertical="center" wrapText="1" readingOrder="1"/>
    </xf>
    <xf numFmtId="0" fontId="20" fillId="8" borderId="75" xfId="0" applyFont="1" applyFill="1" applyBorder="1" applyAlignment="1">
      <alignment horizontal="center" wrapText="1" readingOrder="1"/>
    </xf>
    <xf numFmtId="0" fontId="20" fillId="8" borderId="76" xfId="0" applyFont="1" applyFill="1" applyBorder="1" applyAlignment="1">
      <alignment horizontal="center" wrapText="1" readingOrder="1"/>
    </xf>
    <xf numFmtId="0" fontId="20" fillId="8" borderId="77" xfId="0" applyFont="1" applyFill="1" applyBorder="1" applyAlignment="1">
      <alignment horizontal="center" wrapText="1" readingOrder="1"/>
    </xf>
    <xf numFmtId="0" fontId="20" fillId="7" borderId="19" xfId="0" applyFont="1" applyFill="1" applyBorder="1" applyAlignment="1">
      <alignment horizontal="center" vertical="center" wrapText="1" readingOrder="1"/>
    </xf>
    <xf numFmtId="0" fontId="20" fillId="7" borderId="1" xfId="0" applyFont="1" applyFill="1" applyBorder="1" applyAlignment="1">
      <alignment horizontal="center" vertical="center" wrapText="1" readingOrder="1"/>
    </xf>
    <xf numFmtId="0" fontId="20" fillId="7" borderId="20" xfId="0" applyFont="1" applyFill="1" applyBorder="1" applyAlignment="1">
      <alignment horizontal="center" vertical="center" wrapText="1" readingOrder="1"/>
    </xf>
    <xf numFmtId="0" fontId="20" fillId="8" borderId="19" xfId="0" applyFont="1" applyFill="1" applyBorder="1" applyAlignment="1">
      <alignment horizontal="center" wrapText="1" readingOrder="1"/>
    </xf>
    <xf numFmtId="0" fontId="20" fillId="8" borderId="1" xfId="0" applyFont="1" applyFill="1" applyBorder="1" applyAlignment="1">
      <alignment horizontal="center" wrapText="1" readingOrder="1"/>
    </xf>
    <xf numFmtId="0" fontId="20" fillId="8" borderId="20" xfId="0" applyFont="1" applyFill="1" applyBorder="1" applyAlignment="1">
      <alignment horizontal="center" wrapText="1" readingOrder="1"/>
    </xf>
    <xf numFmtId="0" fontId="20" fillId="7" borderId="40"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0" fontId="20" fillId="7" borderId="42" xfId="0" applyFont="1" applyFill="1" applyBorder="1" applyAlignment="1">
      <alignment horizontal="center" vertical="center" wrapText="1" readingOrder="1"/>
    </xf>
    <xf numFmtId="0" fontId="20" fillId="8" borderId="40" xfId="0" applyFont="1" applyFill="1" applyBorder="1" applyAlignment="1">
      <alignment horizontal="center" wrapText="1" readingOrder="1"/>
    </xf>
    <xf numFmtId="0" fontId="20" fillId="8" borderId="41" xfId="0" applyFont="1" applyFill="1" applyBorder="1" applyAlignment="1">
      <alignment horizontal="center" wrapText="1" readingOrder="1"/>
    </xf>
    <xf numFmtId="0" fontId="20" fillId="8" borderId="42" xfId="0" applyFont="1" applyFill="1" applyBorder="1" applyAlignment="1">
      <alignment horizontal="center" wrapText="1" readingOrder="1"/>
    </xf>
    <xf numFmtId="0" fontId="20" fillId="9" borderId="75" xfId="0" applyFont="1" applyFill="1" applyBorder="1" applyAlignment="1">
      <alignment horizontal="center" wrapText="1" readingOrder="1"/>
    </xf>
    <xf numFmtId="0" fontId="20" fillId="9" borderId="76" xfId="0" applyFont="1" applyFill="1" applyBorder="1" applyAlignment="1">
      <alignment horizontal="center" wrapText="1" readingOrder="1"/>
    </xf>
    <xf numFmtId="0" fontId="20" fillId="9" borderId="77" xfId="0" applyFont="1" applyFill="1" applyBorder="1" applyAlignment="1">
      <alignment horizontal="center" wrapText="1" readingOrder="1"/>
    </xf>
    <xf numFmtId="0" fontId="20" fillId="9" borderId="19" xfId="0" applyFont="1" applyFill="1" applyBorder="1" applyAlignment="1">
      <alignment horizontal="center" wrapText="1" readingOrder="1"/>
    </xf>
    <xf numFmtId="0" fontId="20" fillId="9" borderId="1" xfId="0" applyFont="1" applyFill="1" applyBorder="1" applyAlignment="1">
      <alignment horizontal="center" wrapText="1" readingOrder="1"/>
    </xf>
    <xf numFmtId="0" fontId="20" fillId="9" borderId="20" xfId="0" applyFont="1" applyFill="1" applyBorder="1" applyAlignment="1">
      <alignment horizontal="center" wrapText="1" readingOrder="1"/>
    </xf>
    <xf numFmtId="0" fontId="20" fillId="9" borderId="40" xfId="0" applyFont="1" applyFill="1" applyBorder="1" applyAlignment="1">
      <alignment horizontal="center" wrapText="1" readingOrder="1"/>
    </xf>
    <xf numFmtId="0" fontId="20" fillId="9" borderId="41" xfId="0" applyFont="1" applyFill="1" applyBorder="1" applyAlignment="1">
      <alignment horizontal="center" wrapText="1" readingOrder="1"/>
    </xf>
    <xf numFmtId="0" fontId="20" fillId="9" borderId="42" xfId="0" applyFont="1" applyFill="1" applyBorder="1" applyAlignment="1">
      <alignment horizontal="center" wrapText="1" readingOrder="1"/>
    </xf>
    <xf numFmtId="0" fontId="20" fillId="10" borderId="75" xfId="0" applyFont="1" applyFill="1" applyBorder="1" applyAlignment="1">
      <alignment horizontal="center" wrapText="1" readingOrder="1"/>
    </xf>
    <xf numFmtId="0" fontId="20" fillId="10" borderId="76" xfId="0" applyFont="1" applyFill="1" applyBorder="1" applyAlignment="1">
      <alignment horizontal="center" wrapText="1" readingOrder="1"/>
    </xf>
    <xf numFmtId="0" fontId="20" fillId="10" borderId="77" xfId="0" applyFont="1" applyFill="1" applyBorder="1" applyAlignment="1">
      <alignment horizontal="center" wrapText="1" readingOrder="1"/>
    </xf>
    <xf numFmtId="0" fontId="20" fillId="10" borderId="19" xfId="0" applyFont="1" applyFill="1" applyBorder="1" applyAlignment="1">
      <alignment horizontal="center" wrapText="1" readingOrder="1"/>
    </xf>
    <xf numFmtId="0" fontId="20" fillId="10" borderId="1" xfId="0" applyFont="1" applyFill="1" applyBorder="1" applyAlignment="1">
      <alignment horizontal="center" wrapText="1" readingOrder="1"/>
    </xf>
    <xf numFmtId="0" fontId="20" fillId="10" borderId="20" xfId="0" applyFont="1" applyFill="1" applyBorder="1" applyAlignment="1">
      <alignment horizontal="center" wrapText="1" readingOrder="1"/>
    </xf>
    <xf numFmtId="0" fontId="20" fillId="10" borderId="40" xfId="0" applyFont="1" applyFill="1" applyBorder="1" applyAlignment="1">
      <alignment horizontal="center" wrapText="1" readingOrder="1"/>
    </xf>
    <xf numFmtId="0" fontId="20" fillId="10" borderId="41" xfId="0" applyFont="1" applyFill="1" applyBorder="1" applyAlignment="1">
      <alignment horizontal="center" wrapText="1" readingOrder="1"/>
    </xf>
    <xf numFmtId="0" fontId="20" fillId="10" borderId="42" xfId="0" applyFont="1" applyFill="1" applyBorder="1" applyAlignment="1">
      <alignment horizontal="center" wrapText="1" readingOrder="1"/>
    </xf>
    <xf numFmtId="0" fontId="22" fillId="9" borderId="76" xfId="0" applyFont="1" applyFill="1" applyBorder="1" applyAlignment="1">
      <alignment horizontal="center" wrapText="1" readingOrder="1"/>
    </xf>
    <xf numFmtId="0" fontId="23" fillId="0" borderId="0" xfId="0" applyFont="1" applyAlignment="1">
      <alignment horizontal="center" vertical="center" wrapText="1"/>
    </xf>
    <xf numFmtId="0" fontId="24" fillId="11" borderId="1" xfId="0" applyFont="1" applyFill="1" applyBorder="1" applyAlignment="1">
      <alignment horizontal="center" vertical="center" wrapText="1" readingOrder="1"/>
    </xf>
    <xf numFmtId="0" fontId="25" fillId="10" borderId="78" xfId="0" applyFont="1" applyFill="1" applyBorder="1" applyAlignment="1">
      <alignment horizontal="center" vertical="center" wrapText="1" readingOrder="1"/>
    </xf>
    <xf numFmtId="0" fontId="25" fillId="0" borderId="79" xfId="0" applyFont="1" applyBorder="1" applyAlignment="1">
      <alignment horizontal="left" vertical="center" wrapText="1" readingOrder="1"/>
    </xf>
    <xf numFmtId="9" fontId="25" fillId="0" borderId="79" xfId="0" applyNumberFormat="1" applyFont="1" applyBorder="1" applyAlignment="1">
      <alignment horizontal="center" vertical="center" wrapText="1" readingOrder="1"/>
    </xf>
    <xf numFmtId="0" fontId="25" fillId="12" borderId="80" xfId="0" applyFont="1" applyFill="1" applyBorder="1" applyAlignment="1">
      <alignment horizontal="center" vertical="center" wrapText="1" readingOrder="1"/>
    </xf>
    <xf numFmtId="0" fontId="25" fillId="0" borderId="80" xfId="0" applyFont="1" applyBorder="1" applyAlignment="1">
      <alignment horizontal="left" vertical="center" wrapText="1" readingOrder="1"/>
    </xf>
    <xf numFmtId="9" fontId="25" fillId="0" borderId="80" xfId="0" applyNumberFormat="1" applyFont="1" applyBorder="1" applyAlignment="1">
      <alignment horizontal="center" vertical="center" wrapText="1" readingOrder="1"/>
    </xf>
    <xf numFmtId="0" fontId="25" fillId="13" borderId="80" xfId="0" applyFont="1" applyFill="1" applyBorder="1" applyAlignment="1">
      <alignment horizontal="center" vertical="center" wrapText="1" readingOrder="1"/>
    </xf>
    <xf numFmtId="0" fontId="25" fillId="14" borderId="80" xfId="0" applyFont="1" applyFill="1" applyBorder="1" applyAlignment="1">
      <alignment horizontal="center" vertical="center" wrapText="1" readingOrder="1"/>
    </xf>
    <xf numFmtId="0" fontId="26" fillId="5" borderId="80"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9" fillId="11" borderId="1" xfId="0" applyFont="1" applyFill="1" applyBorder="1" applyAlignment="1">
      <alignment horizontal="center" vertical="center" wrapText="1" readingOrder="1"/>
    </xf>
    <xf numFmtId="0" fontId="30" fillId="2" borderId="1" xfId="0" applyFont="1" applyFill="1" applyBorder="1"/>
    <xf numFmtId="0" fontId="31" fillId="10" borderId="78" xfId="0" applyFont="1" applyFill="1" applyBorder="1" applyAlignment="1">
      <alignment horizontal="center" vertical="center" wrapText="1" readingOrder="1"/>
    </xf>
    <xf numFmtId="0" fontId="31" fillId="0" borderId="79" xfId="0" applyFont="1" applyBorder="1" applyAlignment="1">
      <alignment horizontal="center" vertical="center" wrapText="1" readingOrder="1"/>
    </xf>
    <xf numFmtId="0" fontId="31" fillId="0" borderId="79" xfId="0" applyFont="1" applyBorder="1" applyAlignment="1">
      <alignment horizontal="left" vertical="center" wrapText="1" readingOrder="1"/>
    </xf>
    <xf numFmtId="0" fontId="31" fillId="12" borderId="80" xfId="0" applyFont="1" applyFill="1" applyBorder="1" applyAlignment="1">
      <alignment horizontal="center" vertical="center" wrapText="1" readingOrder="1"/>
    </xf>
    <xf numFmtId="0" fontId="31" fillId="0" borderId="80" xfId="0" applyFont="1" applyBorder="1" applyAlignment="1">
      <alignment horizontal="center" vertical="center" wrapText="1" readingOrder="1"/>
    </xf>
    <xf numFmtId="0" fontId="31" fillId="0" borderId="80" xfId="0" applyFont="1" applyBorder="1" applyAlignment="1">
      <alignment horizontal="left" vertical="center" wrapText="1" readingOrder="1"/>
    </xf>
    <xf numFmtId="0" fontId="31" fillId="13" borderId="80" xfId="0" applyFont="1" applyFill="1" applyBorder="1" applyAlignment="1">
      <alignment horizontal="center" vertical="center" wrapText="1" readingOrder="1"/>
    </xf>
    <xf numFmtId="0" fontId="31" fillId="14" borderId="80" xfId="0" applyFont="1" applyFill="1" applyBorder="1" applyAlignment="1">
      <alignment horizontal="center" vertical="center" wrapText="1" readingOrder="1"/>
    </xf>
    <xf numFmtId="0" fontId="32" fillId="5" borderId="80" xfId="0" applyFont="1" applyFill="1" applyBorder="1" applyAlignment="1">
      <alignment horizontal="center" vertical="center" wrapText="1" readingOrder="1"/>
    </xf>
    <xf numFmtId="0" fontId="33"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4" fillId="0" borderId="0" xfId="0" applyFont="1" applyAlignment="1">
      <alignment vertical="center"/>
    </xf>
    <xf numFmtId="0" fontId="1"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41" fillId="2" borderId="1" xfId="0" applyFont="1" applyFill="1" applyBorder="1"/>
    <xf numFmtId="0" fontId="42" fillId="15" borderId="85" xfId="0" applyFont="1" applyFill="1" applyBorder="1" applyAlignment="1">
      <alignment horizontal="center" vertical="center" wrapText="1" readingOrder="1"/>
    </xf>
    <xf numFmtId="0" fontId="42" fillId="15" borderId="86" xfId="0" applyFont="1" applyFill="1" applyBorder="1" applyAlignment="1">
      <alignment horizontal="center" vertical="center" wrapText="1" readingOrder="1"/>
    </xf>
    <xf numFmtId="0" fontId="42" fillId="2" borderId="89" xfId="0" applyFont="1" applyFill="1" applyBorder="1" applyAlignment="1">
      <alignment horizontal="center" vertical="center" wrapText="1" readingOrder="1"/>
    </xf>
    <xf numFmtId="0" fontId="43" fillId="2" borderId="89" xfId="0" applyFont="1" applyFill="1" applyBorder="1" applyAlignment="1">
      <alignment horizontal="left" vertical="center" wrapText="1" readingOrder="1"/>
    </xf>
    <xf numFmtId="9" fontId="42" fillId="2" borderId="90" xfId="0" applyNumberFormat="1" applyFont="1" applyFill="1" applyBorder="1" applyAlignment="1">
      <alignment horizontal="center" vertical="center" wrapText="1" readingOrder="1"/>
    </xf>
    <xf numFmtId="0" fontId="42" fillId="2" borderId="93" xfId="0" applyFont="1" applyFill="1" applyBorder="1" applyAlignment="1">
      <alignment horizontal="center" vertical="center" wrapText="1" readingOrder="1"/>
    </xf>
    <xf numFmtId="0" fontId="43" fillId="2" borderId="93" xfId="0" applyFont="1" applyFill="1" applyBorder="1" applyAlignment="1">
      <alignment horizontal="left" vertical="center" wrapText="1" readingOrder="1"/>
    </xf>
    <xf numFmtId="9" fontId="42" fillId="2" borderId="94" xfId="0" applyNumberFormat="1" applyFont="1" applyFill="1" applyBorder="1" applyAlignment="1">
      <alignment horizontal="center" vertical="center" wrapText="1" readingOrder="1"/>
    </xf>
    <xf numFmtId="0" fontId="43" fillId="2" borderId="94" xfId="0" applyFont="1" applyFill="1" applyBorder="1" applyAlignment="1">
      <alignment horizontal="center" vertical="center" wrapText="1" readingOrder="1"/>
    </xf>
    <xf numFmtId="0" fontId="42" fillId="2" borderId="101" xfId="0" applyFont="1" applyFill="1" applyBorder="1" applyAlignment="1">
      <alignment horizontal="center" vertical="center" wrapText="1" readingOrder="1"/>
    </xf>
    <xf numFmtId="0" fontId="43" fillId="2" borderId="101" xfId="0" applyFont="1" applyFill="1" applyBorder="1" applyAlignment="1">
      <alignment horizontal="left" vertical="center" wrapText="1" readingOrder="1"/>
    </xf>
    <xf numFmtId="0" fontId="43" fillId="2" borderId="102" xfId="0" applyFont="1" applyFill="1" applyBorder="1" applyAlignment="1">
      <alignment horizontal="center" vertical="center" wrapText="1" readingOrder="1"/>
    </xf>
    <xf numFmtId="0" fontId="39" fillId="0" borderId="0" xfId="0" applyFont="1"/>
    <xf numFmtId="0" fontId="45" fillId="0" borderId="80" xfId="0" applyFont="1" applyBorder="1" applyAlignment="1">
      <alignment horizontal="left" vertical="center" wrapText="1" readingOrder="1"/>
    </xf>
    <xf numFmtId="0" fontId="31" fillId="16" borderId="80" xfId="0" applyFont="1" applyFill="1" applyBorder="1" applyAlignment="1">
      <alignment horizontal="center" vertical="center" wrapText="1" readingOrder="1"/>
    </xf>
    <xf numFmtId="0" fontId="31" fillId="16" borderId="80" xfId="0" applyFont="1" applyFill="1" applyBorder="1" applyAlignment="1">
      <alignment horizontal="left" vertical="center" wrapText="1" readingOrder="1"/>
    </xf>
    <xf numFmtId="0" fontId="59" fillId="0" borderId="0" xfId="0" applyFont="1"/>
    <xf numFmtId="0" fontId="54" fillId="0" borderId="0" xfId="0" applyFont="1" applyAlignment="1">
      <alignment horizontal="left" vertical="center" indent="5"/>
    </xf>
    <xf numFmtId="0" fontId="51" fillId="0" borderId="0" xfId="0" applyFont="1" applyAlignment="1">
      <alignment vertical="center"/>
    </xf>
    <xf numFmtId="0" fontId="51" fillId="0" borderId="0" xfId="0" applyFont="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0" borderId="103" xfId="0" applyFont="1" applyBorder="1" applyAlignment="1" applyProtection="1">
      <alignment horizontal="center" vertical="center"/>
      <protection locked="0"/>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textRotation="90"/>
      <protection locked="0"/>
    </xf>
    <xf numFmtId="14" fontId="51" fillId="0" borderId="103" xfId="0" applyNumberFormat="1" applyFont="1" applyBorder="1" applyAlignment="1" applyProtection="1">
      <alignment horizontal="center" vertical="center"/>
      <protection locked="0"/>
    </xf>
    <xf numFmtId="0" fontId="51" fillId="0" borderId="103" xfId="0" applyFont="1" applyBorder="1" applyAlignment="1">
      <alignment horizontal="center" vertical="center"/>
    </xf>
    <xf numFmtId="9" fontId="51" fillId="0" borderId="103" xfId="0" applyNumberFormat="1" applyFont="1" applyBorder="1" applyAlignment="1">
      <alignment horizontal="center" vertical="center"/>
    </xf>
    <xf numFmtId="164" fontId="51" fillId="0" borderId="103" xfId="0" applyNumberFormat="1" applyFont="1" applyBorder="1" applyAlignment="1">
      <alignment horizontal="center" vertical="center"/>
    </xf>
    <xf numFmtId="0" fontId="50" fillId="0" borderId="103" xfId="0" applyFont="1" applyBorder="1" applyAlignment="1">
      <alignment horizontal="center" vertical="center" textRotation="90" wrapText="1"/>
    </xf>
    <xf numFmtId="0" fontId="50" fillId="0" borderId="103" xfId="0" applyFont="1" applyBorder="1" applyAlignment="1">
      <alignment horizontal="center" vertical="center" textRotation="90"/>
    </xf>
    <xf numFmtId="0" fontId="52" fillId="0" borderId="103" xfId="0" applyFont="1" applyBorder="1" applyAlignment="1" applyProtection="1">
      <alignment horizontal="center" vertical="center"/>
      <protection locked="0"/>
    </xf>
    <xf numFmtId="0" fontId="62" fillId="2" borderId="52" xfId="0" applyFont="1" applyFill="1" applyBorder="1"/>
    <xf numFmtId="0" fontId="62" fillId="0" borderId="0" xfId="0" applyFont="1"/>
    <xf numFmtId="0" fontId="51" fillId="0" borderId="0" xfId="0" applyFont="1" applyAlignment="1">
      <alignment horizontal="center" vertical="center"/>
    </xf>
    <xf numFmtId="0" fontId="50" fillId="4" borderId="103" xfId="0" applyFont="1" applyFill="1" applyBorder="1" applyAlignment="1">
      <alignment horizontal="center" vertical="center" textRotation="90"/>
    </xf>
    <xf numFmtId="0" fontId="50" fillId="0" borderId="0" xfId="0" applyFont="1" applyAlignment="1" applyProtection="1">
      <alignment horizontal="left" vertical="center"/>
      <protection locked="0"/>
    </xf>
    <xf numFmtId="0" fontId="63" fillId="0" borderId="121"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protection locked="0"/>
    </xf>
    <xf numFmtId="0" fontId="63" fillId="0" borderId="121" xfId="0" applyFont="1" applyBorder="1" applyAlignment="1">
      <alignment horizontal="center" vertical="center" textRotation="90"/>
    </xf>
    <xf numFmtId="0" fontId="51" fillId="0" borderId="123" xfId="0" applyFont="1" applyBorder="1" applyAlignment="1" applyProtection="1">
      <alignment vertical="center" wrapText="1"/>
      <protection locked="0"/>
    </xf>
    <xf numFmtId="9" fontId="51" fillId="0" borderId="123" xfId="0" applyNumberFormat="1" applyFont="1" applyBorder="1" applyAlignment="1" applyProtection="1">
      <alignment vertical="center" wrapText="1"/>
      <protection locked="0"/>
    </xf>
    <xf numFmtId="9" fontId="51" fillId="0" borderId="123" xfId="0" applyNumberFormat="1" applyFont="1" applyBorder="1" applyAlignment="1">
      <alignment vertical="center" wrapText="1"/>
    </xf>
    <xf numFmtId="0" fontId="50" fillId="0" borderId="123" xfId="0" applyFont="1" applyBorder="1" applyAlignment="1">
      <alignment vertical="center" wrapText="1"/>
    </xf>
    <xf numFmtId="0" fontId="50" fillId="0" borderId="123" xfId="0" applyFont="1" applyBorder="1" applyAlignment="1">
      <alignment vertical="center"/>
    </xf>
    <xf numFmtId="0" fontId="51" fillId="0" borderId="123" xfId="0" applyFont="1" applyBorder="1" applyAlignment="1" applyProtection="1">
      <alignment vertical="center"/>
      <protection locked="0"/>
    </xf>
    <xf numFmtId="0" fontId="65" fillId="0" borderId="129" xfId="0" applyFont="1" applyBorder="1" applyAlignment="1" applyProtection="1">
      <alignment horizontal="left" vertical="center" wrapText="1"/>
      <protection locked="0"/>
    </xf>
    <xf numFmtId="0" fontId="51" fillId="0" borderId="129" xfId="0" applyFont="1" applyBorder="1" applyAlignment="1" applyProtection="1">
      <alignment horizontal="center" vertical="center" textRotation="90"/>
      <protection locked="0"/>
    </xf>
    <xf numFmtId="0" fontId="63" fillId="0" borderId="52" xfId="0" applyFont="1" applyBorder="1" applyAlignment="1">
      <alignment horizontal="center" vertical="center" textRotation="90" wrapText="1"/>
    </xf>
    <xf numFmtId="0" fontId="63" fillId="0" borderId="120" xfId="0" applyFont="1" applyBorder="1" applyAlignment="1">
      <alignment horizontal="center" vertical="center" textRotation="90"/>
    </xf>
    <xf numFmtId="0" fontId="63" fillId="0" borderId="121" xfId="0" applyFont="1" applyBorder="1" applyAlignment="1">
      <alignment horizontal="center" vertical="center" textRotation="90"/>
    </xf>
    <xf numFmtId="0" fontId="63" fillId="0" borderId="122" xfId="0" applyFont="1" applyBorder="1" applyAlignment="1">
      <alignment horizontal="center" vertical="center" textRotation="90"/>
    </xf>
    <xf numFmtId="0" fontId="50" fillId="4" borderId="123" xfId="0" applyFont="1" applyFill="1" applyBorder="1" applyAlignment="1">
      <alignment horizontal="center" vertical="center" textRotation="90" wrapText="1"/>
    </xf>
    <xf numFmtId="0" fontId="50" fillId="4" borderId="124" xfId="0" applyFont="1" applyFill="1" applyBorder="1" applyAlignment="1">
      <alignment horizontal="center" vertical="center" textRotation="90" wrapText="1"/>
    </xf>
    <xf numFmtId="0" fontId="51" fillId="0" borderId="103" xfId="0" applyFont="1" applyBorder="1" applyAlignment="1">
      <alignment horizontal="center" vertical="center" wrapText="1"/>
    </xf>
    <xf numFmtId="0" fontId="50" fillId="0" borderId="103" xfId="0" applyFont="1" applyBorder="1" applyAlignment="1">
      <alignment horizontal="center" vertical="center" wrapText="1"/>
    </xf>
    <xf numFmtId="0" fontId="52" fillId="0" borderId="103" xfId="0" applyFont="1" applyBorder="1" applyAlignment="1">
      <alignment horizontal="center" vertical="center"/>
    </xf>
    <xf numFmtId="9" fontId="51" fillId="0" borderId="103" xfId="0" applyNumberFormat="1" applyFont="1" applyBorder="1" applyAlignment="1">
      <alignment horizontal="center" vertical="center" wrapText="1"/>
    </xf>
    <xf numFmtId="0" fontId="50" fillId="0" borderId="103" xfId="0" applyFont="1" applyBorder="1" applyAlignment="1">
      <alignment horizontal="center" vertical="center"/>
    </xf>
    <xf numFmtId="9" fontId="51" fillId="0" borderId="103" xfId="0" applyNumberFormat="1" applyFont="1" applyBorder="1" applyAlignment="1" applyProtection="1">
      <alignment horizontal="center" vertical="center" wrapText="1"/>
      <protection locked="0"/>
    </xf>
    <xf numFmtId="0" fontId="52" fillId="0" borderId="103" xfId="0" applyFont="1" applyBorder="1" applyAlignment="1" applyProtection="1">
      <alignment horizontal="center" vertical="center"/>
      <protection locked="0"/>
    </xf>
    <xf numFmtId="0" fontId="50" fillId="4" borderId="103" xfId="0" applyFont="1" applyFill="1" applyBorder="1" applyAlignment="1">
      <alignment horizontal="center" vertical="center"/>
    </xf>
    <xf numFmtId="0" fontId="50" fillId="4" borderId="103" xfId="0" applyFont="1" applyFill="1" applyBorder="1" applyAlignment="1">
      <alignment horizontal="center" vertical="center" wrapText="1"/>
    </xf>
    <xf numFmtId="0" fontId="50" fillId="4" borderId="103" xfId="0" applyFont="1" applyFill="1" applyBorder="1" applyAlignment="1">
      <alignment horizontal="center" vertical="center" textRotation="90" wrapText="1"/>
    </xf>
    <xf numFmtId="0" fontId="51" fillId="0" borderId="103" xfId="0" applyFont="1" applyBorder="1" applyAlignment="1" applyProtection="1">
      <alignment horizontal="center" vertical="center" wrapText="1"/>
      <protection locked="0"/>
    </xf>
    <xf numFmtId="0" fontId="51" fillId="0" borderId="103" xfId="0" applyFont="1" applyBorder="1" applyAlignment="1" applyProtection="1">
      <alignment horizontal="center" vertical="center"/>
      <protection locked="0"/>
    </xf>
    <xf numFmtId="0" fontId="51" fillId="0" borderId="123" xfId="0" applyFont="1" applyBorder="1" applyAlignment="1" applyProtection="1">
      <alignment horizontal="center" vertical="center" wrapText="1"/>
      <protection locked="0"/>
    </xf>
    <xf numFmtId="0" fontId="51" fillId="0" borderId="125" xfId="0" applyFont="1" applyBorder="1" applyAlignment="1" applyProtection="1">
      <alignment horizontal="center" vertical="center" wrapText="1"/>
      <protection locked="0"/>
    </xf>
    <xf numFmtId="0" fontId="51" fillId="0" borderId="124" xfId="0" applyFont="1" applyBorder="1" applyAlignment="1" applyProtection="1">
      <alignment horizontal="center" vertical="center" wrapText="1"/>
      <protection locked="0"/>
    </xf>
    <xf numFmtId="0" fontId="51" fillId="0" borderId="123" xfId="0" applyFont="1" applyBorder="1" applyAlignment="1" applyProtection="1">
      <alignment horizontal="center" vertical="center"/>
      <protection locked="0"/>
    </xf>
    <xf numFmtId="0" fontId="51" fillId="0" borderId="125" xfId="0" applyFont="1" applyBorder="1" applyAlignment="1" applyProtection="1">
      <alignment horizontal="center" vertical="center"/>
      <protection locked="0"/>
    </xf>
    <xf numFmtId="0" fontId="51" fillId="0" borderId="124" xfId="0" applyFont="1" applyBorder="1" applyAlignment="1" applyProtection="1">
      <alignment horizontal="center" vertical="center"/>
      <protection locked="0"/>
    </xf>
    <xf numFmtId="0" fontId="51" fillId="0" borderId="123" xfId="0" applyFont="1" applyBorder="1" applyAlignment="1" applyProtection="1">
      <alignment horizontal="center" vertical="center" textRotation="90"/>
      <protection locked="0"/>
    </xf>
    <xf numFmtId="0" fontId="51" fillId="0" borderId="125" xfId="0" applyFont="1" applyBorder="1" applyAlignment="1" applyProtection="1">
      <alignment horizontal="center" vertical="center" textRotation="90"/>
      <protection locked="0"/>
    </xf>
    <xf numFmtId="0" fontId="51" fillId="0" borderId="124" xfId="0" applyFont="1" applyBorder="1" applyAlignment="1" applyProtection="1">
      <alignment horizontal="center" vertical="center" textRotation="90"/>
      <protection locked="0"/>
    </xf>
    <xf numFmtId="0" fontId="50" fillId="4" borderId="103" xfId="0" applyFont="1" applyFill="1" applyBorder="1" applyAlignment="1">
      <alignment horizontal="left" vertical="center"/>
    </xf>
    <xf numFmtId="0" fontId="52" fillId="0" borderId="103" xfId="0" applyFont="1" applyBorder="1" applyAlignment="1">
      <alignment horizontal="left" vertical="center"/>
    </xf>
    <xf numFmtId="0" fontId="64" fillId="2" borderId="126" xfId="0" applyFont="1" applyFill="1" applyBorder="1" applyAlignment="1" applyProtection="1">
      <alignment horizontal="left" vertical="center"/>
      <protection locked="0"/>
    </xf>
    <xf numFmtId="0" fontId="52" fillId="0" borderId="127" xfId="0" applyFont="1" applyBorder="1" applyProtection="1">
      <protection locked="0"/>
    </xf>
    <xf numFmtId="0" fontId="52" fillId="0" borderId="128" xfId="0" applyFont="1" applyBorder="1" applyProtection="1">
      <protection locked="0"/>
    </xf>
    <xf numFmtId="0" fontId="51" fillId="2" borderId="43" xfId="0" applyFont="1" applyFill="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64" fillId="2" borderId="126" xfId="0" applyFont="1" applyFill="1" applyBorder="1" applyAlignment="1" applyProtection="1">
      <alignment horizontal="left" vertical="center" wrapText="1"/>
      <protection locked="0"/>
    </xf>
    <xf numFmtId="0" fontId="50" fillId="4" borderId="103" xfId="0" applyFont="1" applyFill="1" applyBorder="1" applyAlignment="1">
      <alignment horizontal="center" vertical="center" textRotation="90"/>
    </xf>
    <xf numFmtId="0" fontId="51" fillId="0" borderId="107" xfId="0" applyFont="1" applyBorder="1" applyAlignment="1">
      <alignment horizontal="center" vertical="center"/>
    </xf>
    <xf numFmtId="0" fontId="51" fillId="0" borderId="106" xfId="0" applyFont="1" applyBorder="1" applyAlignment="1">
      <alignment horizontal="center" vertical="center"/>
    </xf>
    <xf numFmtId="0" fontId="51" fillId="0" borderId="108" xfId="0" applyFont="1" applyBorder="1" applyAlignment="1">
      <alignment horizontal="center" vertical="center"/>
    </xf>
    <xf numFmtId="0" fontId="51" fillId="0" borderId="112" xfId="0" applyFont="1" applyBorder="1" applyAlignment="1">
      <alignment horizontal="center" vertical="center"/>
    </xf>
    <xf numFmtId="0" fontId="51" fillId="0" borderId="52" xfId="0" applyFont="1" applyBorder="1" applyAlignment="1">
      <alignment horizontal="center" vertical="center"/>
    </xf>
    <xf numFmtId="0" fontId="51" fillId="0" borderId="113"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7" fillId="0" borderId="104" xfId="0" applyFont="1" applyBorder="1" applyAlignment="1">
      <alignment horizontal="center" vertical="center"/>
    </xf>
    <xf numFmtId="0" fontId="57" fillId="0" borderId="105" xfId="0" applyFont="1" applyBorder="1" applyAlignment="1">
      <alignment horizontal="center" vertical="center"/>
    </xf>
    <xf numFmtId="0" fontId="58" fillId="0" borderId="106" xfId="0" applyFont="1" applyBorder="1" applyAlignment="1">
      <alignment horizontal="left" vertical="center"/>
    </xf>
    <xf numFmtId="0" fontId="58" fillId="0" borderId="108" xfId="0" applyFont="1" applyBorder="1" applyAlignment="1">
      <alignment horizontal="left" vertical="center"/>
    </xf>
    <xf numFmtId="0" fontId="57" fillId="0" borderId="110" xfId="0" applyFont="1" applyBorder="1" applyAlignment="1">
      <alignment horizontal="center" vertical="center"/>
    </xf>
    <xf numFmtId="0" fontId="57" fillId="0" borderId="52" xfId="0" applyFont="1" applyBorder="1" applyAlignment="1">
      <alignment horizontal="center" vertical="center"/>
    </xf>
    <xf numFmtId="0" fontId="57" fillId="0" borderId="111" xfId="0" applyFont="1" applyBorder="1" applyAlignment="1">
      <alignment horizontal="center" vertical="center"/>
    </xf>
    <xf numFmtId="0" fontId="56" fillId="0" borderId="107" xfId="0" applyFont="1" applyBorder="1" applyAlignment="1">
      <alignment horizontal="center" vertical="center"/>
    </xf>
    <xf numFmtId="0" fontId="56" fillId="0" borderId="106" xfId="0" applyFont="1" applyBorder="1" applyAlignment="1">
      <alignment horizontal="center" vertical="center"/>
    </xf>
    <xf numFmtId="15" fontId="60" fillId="0" borderId="109" xfId="0" applyNumberFormat="1" applyFont="1" applyBorder="1" applyAlignment="1">
      <alignment horizontal="center" vertical="center"/>
    </xf>
    <xf numFmtId="0" fontId="60" fillId="0" borderId="110" xfId="0" applyFont="1" applyBorder="1" applyAlignment="1">
      <alignment horizontal="center" vertical="center"/>
    </xf>
    <xf numFmtId="0" fontId="56" fillId="0" borderId="108" xfId="0" applyFont="1" applyBorder="1" applyAlignment="1">
      <alignment horizontal="center" vertical="center"/>
    </xf>
    <xf numFmtId="49" fontId="60" fillId="0" borderId="109" xfId="0" applyNumberFormat="1" applyFont="1" applyBorder="1" applyAlignment="1">
      <alignment horizontal="center" vertical="center"/>
    </xf>
    <xf numFmtId="49" fontId="60" fillId="0" borderId="110" xfId="0" applyNumberFormat="1" applyFont="1" applyBorder="1" applyAlignment="1">
      <alignment horizontal="center" vertical="center"/>
    </xf>
    <xf numFmtId="49" fontId="60" fillId="0" borderId="111" xfId="0" applyNumberFormat="1" applyFont="1" applyBorder="1" applyAlignment="1">
      <alignment horizontal="center" vertical="center"/>
    </xf>
    <xf numFmtId="0" fontId="60" fillId="0" borderId="111" xfId="0" applyFont="1" applyBorder="1" applyAlignment="1">
      <alignment horizontal="center" vertical="center"/>
    </xf>
    <xf numFmtId="0" fontId="60" fillId="0" borderId="109" xfId="0" applyFont="1" applyBorder="1" applyAlignment="1">
      <alignment horizontal="center" vertical="center"/>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6" fillId="9" borderId="45" xfId="0" applyFont="1" applyFill="1" applyBorder="1" applyAlignment="1">
      <alignment horizontal="center" wrapText="1" readingOrder="1"/>
    </xf>
    <xf numFmtId="0" fontId="3" fillId="0" borderId="53" xfId="0" applyFont="1" applyBorder="1"/>
    <xf numFmtId="0" fontId="3" fillId="0" borderId="50" xfId="0" applyFont="1" applyBorder="1"/>
    <xf numFmtId="0" fontId="3" fillId="0" borderId="63" xfId="0" applyFont="1" applyBorder="1"/>
    <xf numFmtId="0" fontId="16" fillId="9" borderId="58" xfId="0" applyFont="1" applyFill="1" applyBorder="1" applyAlignment="1">
      <alignment horizontal="center" wrapText="1" readingOrder="1"/>
    </xf>
    <xf numFmtId="0" fontId="3" fillId="0" borderId="57" xfId="0" applyFont="1" applyBorder="1"/>
    <xf numFmtId="0" fontId="3" fillId="0" borderId="52" xfId="0" applyFont="1" applyBorder="1"/>
    <xf numFmtId="0" fontId="3" fillId="0" borderId="56" xfId="0" applyFont="1" applyBorder="1"/>
    <xf numFmtId="0" fontId="16" fillId="7" borderId="54" xfId="0" applyFont="1" applyFill="1" applyBorder="1" applyAlignment="1">
      <alignment horizontal="center" vertical="center" wrapText="1" readingOrder="1"/>
    </xf>
    <xf numFmtId="0" fontId="3" fillId="0" borderId="62" xfId="0" applyFont="1" applyBorder="1"/>
    <xf numFmtId="0" fontId="16" fillId="7" borderId="58"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3" fillId="0" borderId="47" xfId="0" applyFont="1" applyBorder="1"/>
    <xf numFmtId="0" fontId="16" fillId="9" borderId="66" xfId="0" applyFont="1" applyFill="1" applyBorder="1" applyAlignment="1">
      <alignment horizontal="center" wrapText="1" readingOrder="1"/>
    </xf>
    <xf numFmtId="0" fontId="16" fillId="7" borderId="66" xfId="0" applyFont="1" applyFill="1" applyBorder="1" applyAlignment="1">
      <alignment horizontal="center" vertical="center" wrapText="1" readingOrder="1"/>
    </xf>
    <xf numFmtId="0" fontId="16" fillId="7" borderId="45" xfId="0" applyFont="1" applyFill="1" applyBorder="1" applyAlignment="1">
      <alignment horizontal="center" vertical="center" wrapText="1" readingOrder="1"/>
    </xf>
    <xf numFmtId="0" fontId="16" fillId="8" borderId="66" xfId="0" applyFont="1" applyFill="1" applyBorder="1" applyAlignment="1">
      <alignment horizontal="center" wrapText="1" readingOrder="1"/>
    </xf>
    <xf numFmtId="0" fontId="16" fillId="8" borderId="45" xfId="0" applyFont="1" applyFill="1" applyBorder="1" applyAlignment="1">
      <alignment horizontal="center" wrapText="1" readingOrder="1"/>
    </xf>
    <xf numFmtId="0" fontId="16" fillId="9" borderId="54" xfId="0" applyFont="1" applyFill="1" applyBorder="1" applyAlignment="1">
      <alignment horizont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7" xfId="0" applyFont="1" applyBorder="1"/>
    <xf numFmtId="0" fontId="3" fillId="0" borderId="68" xfId="0" applyFont="1" applyBorder="1"/>
    <xf numFmtId="0" fontId="3" fillId="0" borderId="70" xfId="0" applyFont="1" applyBorder="1"/>
    <xf numFmtId="0" fontId="3" fillId="0" borderId="71" xfId="0" applyFont="1" applyBorder="1"/>
    <xf numFmtId="0" fontId="3" fillId="0" borderId="69" xfId="0" applyFont="1" applyBorder="1"/>
    <xf numFmtId="0" fontId="16" fillId="8"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16" fillId="10" borderId="58" xfId="0" applyFont="1" applyFill="1" applyBorder="1" applyAlignment="1">
      <alignment horizontal="center" wrapText="1" readingOrder="1"/>
    </xf>
    <xf numFmtId="0" fontId="16" fillId="10" borderId="54" xfId="0" applyFont="1" applyFill="1" applyBorder="1" applyAlignment="1">
      <alignment horizontal="center" wrapText="1" readingOrder="1"/>
    </xf>
    <xf numFmtId="0" fontId="17" fillId="8"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10" borderId="59" xfId="0" applyFont="1" applyFill="1" applyBorder="1" applyAlignment="1">
      <alignment horizontal="center" vertical="center" wrapText="1" readingOrder="1"/>
    </xf>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8" fillId="0" borderId="0" xfId="0" applyFont="1" applyAlignment="1">
      <alignment horizontal="center" vertical="center" wrapText="1"/>
    </xf>
    <xf numFmtId="0" fontId="19" fillId="0" borderId="54" xfId="0" applyFont="1" applyBorder="1" applyAlignment="1">
      <alignment horizontal="center" vertical="center" wrapText="1"/>
    </xf>
    <xf numFmtId="0" fontId="21" fillId="7" borderId="59" xfId="0" applyFont="1" applyFill="1" applyBorder="1" applyAlignment="1">
      <alignment horizontal="center" vertical="center" wrapText="1" readingOrder="1"/>
    </xf>
    <xf numFmtId="0" fontId="21" fillId="9" borderId="59" xfId="0" applyFont="1" applyFill="1" applyBorder="1" applyAlignment="1">
      <alignment horizontal="center" vertical="center" wrapText="1" readingOrder="1"/>
    </xf>
    <xf numFmtId="0" fontId="21" fillId="8" borderId="59" xfId="0" applyFont="1" applyFill="1" applyBorder="1" applyAlignment="1">
      <alignment horizontal="center" vertical="center" wrapText="1" readingOrder="1"/>
    </xf>
    <xf numFmtId="0" fontId="21" fillId="10" borderId="59" xfId="0" applyFont="1" applyFill="1" applyBorder="1" applyAlignment="1">
      <alignment horizontal="center" vertical="center" wrapText="1" readingOrder="1"/>
    </xf>
    <xf numFmtId="0" fontId="13" fillId="0" borderId="0" xfId="0" applyFont="1" applyAlignment="1">
      <alignment horizontal="center" vertical="center"/>
    </xf>
    <xf numFmtId="0" fontId="27" fillId="0" borderId="0" xfId="0" applyFont="1" applyAlignment="1">
      <alignment horizontal="center" vertical="center"/>
    </xf>
    <xf numFmtId="0" fontId="44" fillId="2" borderId="43" xfId="0" applyFont="1" applyFill="1" applyBorder="1" applyAlignment="1">
      <alignment horizontal="left" vertical="center" wrapText="1"/>
    </xf>
    <xf numFmtId="0" fontId="3" fillId="0" borderId="44" xfId="0" applyFont="1" applyBorder="1"/>
    <xf numFmtId="0" fontId="42"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0"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2" fillId="15" borderId="81" xfId="0" applyFont="1" applyFill="1" applyBorder="1" applyAlignment="1">
      <alignment horizontal="center" vertical="center" wrapText="1" readingOrder="1"/>
    </xf>
    <xf numFmtId="0" fontId="3" fillId="0" borderId="84" xfId="0" applyFont="1" applyBorder="1"/>
    <xf numFmtId="0" fontId="42"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2" fillId="2" borderId="88" xfId="0" applyFont="1" applyFill="1" applyBorder="1" applyAlignment="1">
      <alignment horizontal="center" vertical="center" wrapText="1" readingOrder="1"/>
    </xf>
    <xf numFmtId="0" fontId="3" fillId="0" borderId="92" xfId="0" applyFont="1" applyBorder="1"/>
    <xf numFmtId="0" fontId="42" fillId="2" borderId="98" xfId="0" applyFont="1" applyFill="1" applyBorder="1" applyAlignment="1">
      <alignment horizontal="center" vertical="center" wrapText="1" readingOrder="1"/>
    </xf>
    <xf numFmtId="0" fontId="3" fillId="0" borderId="99" xfId="0" applyFont="1" applyBorder="1"/>
    <xf numFmtId="0" fontId="59" fillId="0" borderId="117" xfId="0" applyFont="1" applyBorder="1"/>
    <xf numFmtId="0" fontId="59" fillId="0" borderId="118" xfId="0" applyFont="1" applyBorder="1"/>
    <xf numFmtId="0" fontId="51" fillId="0" borderId="118" xfId="0" applyFont="1" applyBorder="1" applyAlignment="1">
      <alignment horizontal="justify" vertical="center" wrapText="1"/>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0" fillId="0" borderId="0" xfId="0" applyFont="1" applyAlignment="1">
      <alignment horizontal="center" vertical="center"/>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xf numFmtId="0" fontId="55" fillId="0" borderId="107" xfId="0" applyFont="1" applyBorder="1" applyAlignment="1">
      <alignment horizontal="justify" vertical="center" wrapText="1"/>
    </xf>
    <xf numFmtId="0" fontId="55" fillId="0" borderId="106" xfId="0" applyFont="1" applyBorder="1" applyAlignment="1">
      <alignment horizontal="justify" vertical="center" wrapText="1"/>
    </xf>
    <xf numFmtId="0" fontId="55" fillId="0" borderId="108" xfId="0" applyFont="1" applyBorder="1" applyAlignment="1">
      <alignment horizontal="justify" vertical="center" wrapText="1"/>
    </xf>
    <xf numFmtId="0" fontId="59" fillId="0" borderId="112" xfId="0" applyFont="1" applyBorder="1"/>
    <xf numFmtId="0" fontId="59" fillId="0" borderId="52" xfId="0" applyFont="1" applyBorder="1"/>
    <xf numFmtId="0" fontId="59" fillId="0" borderId="113" xfId="0" applyFont="1" applyBorder="1"/>
    <xf numFmtId="0" fontId="55" fillId="0" borderId="112" xfId="0" applyFont="1" applyBorder="1" applyAlignment="1">
      <alignment horizontal="justify" vertical="center" wrapText="1"/>
    </xf>
    <xf numFmtId="0" fontId="55" fillId="0" borderId="52" xfId="0" applyFont="1" applyBorder="1" applyAlignment="1">
      <alignment horizontal="justify" vertical="center" wrapText="1"/>
    </xf>
    <xf numFmtId="0" fontId="55" fillId="0" borderId="113" xfId="0" applyFont="1" applyBorder="1" applyAlignment="1">
      <alignment horizontal="justify" vertical="center" wrapText="1"/>
    </xf>
    <xf numFmtId="0" fontId="55" fillId="0" borderId="112"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113" xfId="0" applyFont="1" applyBorder="1" applyAlignment="1">
      <alignment horizontal="center" vertical="center" wrapText="1"/>
    </xf>
    <xf numFmtId="0" fontId="59" fillId="0" borderId="109" xfId="0" applyFont="1" applyBorder="1"/>
    <xf numFmtId="0" fontId="59" fillId="0" borderId="110" xfId="0" applyFont="1" applyBorder="1"/>
    <xf numFmtId="0" fontId="59"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51" fillId="0" borderId="103" xfId="0" applyFont="1" applyFill="1" applyBorder="1" applyAlignment="1" applyProtection="1">
      <alignment horizontal="center" vertical="center" wrapText="1"/>
      <protection locked="0"/>
    </xf>
    <xf numFmtId="0" fontId="51" fillId="0" borderId="103" xfId="0" applyFont="1" applyFill="1" applyBorder="1" applyAlignment="1" applyProtection="1">
      <alignment horizontal="center" vertical="center"/>
      <protection locked="0"/>
    </xf>
    <xf numFmtId="0" fontId="52" fillId="0" borderId="103" xfId="0" applyFont="1" applyFill="1" applyBorder="1" applyAlignment="1" applyProtection="1">
      <alignment horizontal="center" vertical="center"/>
      <protection locked="0"/>
    </xf>
    <xf numFmtId="0" fontId="51" fillId="0" borderId="123" xfId="0" applyFont="1" applyFill="1" applyBorder="1" applyAlignment="1" applyProtection="1">
      <alignment vertical="center" wrapText="1"/>
      <protection locked="0"/>
    </xf>
    <xf numFmtId="0" fontId="51" fillId="0" borderId="123" xfId="0" applyFont="1" applyFill="1" applyBorder="1" applyAlignment="1" applyProtection="1">
      <alignment vertical="center"/>
      <protection locked="0"/>
    </xf>
    <xf numFmtId="0" fontId="51" fillId="0" borderId="123" xfId="0" applyFont="1" applyFill="1" applyBorder="1" applyAlignment="1" applyProtection="1">
      <alignment horizontal="center" vertical="center" wrapText="1"/>
      <protection locked="0"/>
    </xf>
    <xf numFmtId="0" fontId="51" fillId="0" borderId="125" xfId="0" applyFont="1" applyFill="1" applyBorder="1" applyAlignment="1" applyProtection="1">
      <alignment horizontal="center" vertical="center" wrapText="1"/>
      <protection locked="0"/>
    </xf>
    <xf numFmtId="0" fontId="51" fillId="0" borderId="124" xfId="0" applyFont="1" applyFill="1" applyBorder="1" applyAlignment="1" applyProtection="1">
      <alignment horizontal="center" vertical="center" wrapText="1"/>
      <protection locked="0"/>
    </xf>
  </cellXfs>
  <cellStyles count="1">
    <cellStyle name="Normal" xfId="0" builtinId="0"/>
  </cellStyles>
  <dxfs count="1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1551214</xdr:colOff>
      <xdr:row>0</xdr:row>
      <xdr:rowOff>0</xdr:rowOff>
    </xdr:from>
    <xdr:to>
      <xdr:col>2</xdr:col>
      <xdr:colOff>1768929</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3357" y="0"/>
          <a:ext cx="1796143" cy="1269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20701575\Downloads\pe_f_055_mapa_riesgos_gestion_FORMU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K48"/>
  <sheetViews>
    <sheetView showGridLines="0" tabSelected="1" zoomScale="50" zoomScaleNormal="50" workbookViewId="0">
      <selection activeCell="C10" sqref="C10:N10"/>
    </sheetView>
  </sheetViews>
  <sheetFormatPr baseColWidth="10" defaultColWidth="12.58203125" defaultRowHeight="14" x14ac:dyDescent="0.3"/>
  <cols>
    <col min="1" max="1" width="3.5" style="103" customWidth="1"/>
    <col min="2" max="2" width="20.58203125" style="103" customWidth="1"/>
    <col min="3" max="5" width="26.33203125" style="103" customWidth="1"/>
    <col min="6" max="6" width="16.58203125" style="103" customWidth="1"/>
    <col min="7" max="7" width="15.58203125" style="103" customWidth="1"/>
    <col min="8" max="8" width="14.5" style="103" customWidth="1"/>
    <col min="9" max="9" width="6.5" style="103" customWidth="1"/>
    <col min="10" max="10" width="23.83203125" style="103" customWidth="1"/>
    <col min="11" max="11" width="26.75" style="103" bestFit="1" customWidth="1"/>
    <col min="12" max="12" width="15.33203125" style="103" customWidth="1"/>
    <col min="13" max="13" width="5.5" style="103" customWidth="1"/>
    <col min="14" max="14" width="14" style="103" customWidth="1"/>
    <col min="15" max="15" width="5.08203125" style="103" customWidth="1"/>
    <col min="16" max="16" width="68.83203125" style="103" customWidth="1"/>
    <col min="17" max="17" width="13.25" style="103" customWidth="1"/>
    <col min="18" max="18" width="6" style="103" customWidth="1"/>
    <col min="19" max="19" width="4.33203125" style="103" customWidth="1"/>
    <col min="20" max="20" width="4.83203125" style="103" customWidth="1"/>
    <col min="21" max="21" width="6.25" style="103" customWidth="1"/>
    <col min="22" max="22" width="5.83203125" style="103" customWidth="1"/>
    <col min="23" max="23" width="6.58203125" style="103" customWidth="1"/>
    <col min="24" max="24" width="6.33203125" style="103" customWidth="1"/>
    <col min="25" max="25" width="7.58203125" style="103" customWidth="1"/>
    <col min="26" max="26" width="6.58203125" style="103" customWidth="1"/>
    <col min="27" max="27" width="8.08203125" style="103" customWidth="1"/>
    <col min="28" max="28" width="6.75" style="103" customWidth="1"/>
    <col min="29" max="29" width="7.33203125" style="103" customWidth="1"/>
    <col min="30" max="30" width="7.33203125" customWidth="1"/>
    <col min="31" max="31" width="8.33203125" style="103" customWidth="1"/>
    <col min="32" max="32" width="20.08203125" style="103" customWidth="1"/>
    <col min="33" max="33" width="16.5" style="103" customWidth="1"/>
    <col min="34" max="34" width="19.83203125" style="103" customWidth="1"/>
    <col min="35" max="35" width="17.83203125" style="103" customWidth="1"/>
    <col min="36" max="36" width="16.25" style="103" customWidth="1"/>
    <col min="37" max="37" width="18.33203125" style="103" customWidth="1"/>
    <col min="38" max="56" width="10" style="103" customWidth="1"/>
    <col min="57" max="16384" width="12.58203125" style="103"/>
  </cols>
  <sheetData>
    <row r="1" spans="1:37" ht="23" thickBot="1" x14ac:dyDescent="0.35">
      <c r="A1" s="169"/>
      <c r="B1" s="170"/>
      <c r="C1" s="170"/>
      <c r="D1" s="171"/>
      <c r="E1" s="178" t="s">
        <v>224</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9"/>
    </row>
    <row r="2" spans="1:37" ht="22.5" x14ac:dyDescent="0.3">
      <c r="A2" s="172"/>
      <c r="B2" s="173"/>
      <c r="C2" s="173"/>
      <c r="D2" s="174"/>
      <c r="E2" s="180" t="s">
        <v>225</v>
      </c>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1"/>
    </row>
    <row r="3" spans="1:37" ht="23" thickBot="1" x14ac:dyDescent="0.35">
      <c r="A3" s="172"/>
      <c r="B3" s="173"/>
      <c r="C3" s="173"/>
      <c r="D3" s="174"/>
      <c r="E3" s="182" t="s">
        <v>221</v>
      </c>
      <c r="F3" s="182"/>
      <c r="G3" s="182"/>
      <c r="H3" s="182"/>
      <c r="I3" s="182"/>
      <c r="J3" s="182"/>
      <c r="K3" s="182"/>
      <c r="L3" s="182"/>
      <c r="M3" s="182"/>
      <c r="N3" s="183"/>
      <c r="O3" s="183"/>
      <c r="P3" s="183"/>
      <c r="Q3" s="183"/>
      <c r="R3" s="183"/>
      <c r="S3" s="183"/>
      <c r="T3" s="183"/>
      <c r="U3" s="183"/>
      <c r="V3" s="183"/>
      <c r="W3" s="183"/>
      <c r="X3" s="183"/>
      <c r="Y3" s="182"/>
      <c r="Z3" s="182"/>
      <c r="AA3" s="182"/>
      <c r="AB3" s="182"/>
      <c r="AC3" s="182"/>
      <c r="AD3" s="182"/>
      <c r="AE3" s="182"/>
      <c r="AF3" s="182"/>
      <c r="AG3" s="182"/>
      <c r="AH3" s="182"/>
      <c r="AI3" s="182"/>
      <c r="AJ3" s="182"/>
      <c r="AK3" s="184"/>
    </row>
    <row r="4" spans="1:37" ht="15" x14ac:dyDescent="0.3">
      <c r="A4" s="172"/>
      <c r="B4" s="173"/>
      <c r="C4" s="173"/>
      <c r="D4" s="174"/>
      <c r="E4" s="185" t="s">
        <v>217</v>
      </c>
      <c r="F4" s="186"/>
      <c r="G4" s="186"/>
      <c r="H4" s="186"/>
      <c r="I4" s="186"/>
      <c r="J4" s="186"/>
      <c r="K4" s="186"/>
      <c r="L4" s="186"/>
      <c r="M4" s="186"/>
      <c r="N4" s="185" t="s">
        <v>218</v>
      </c>
      <c r="O4" s="186"/>
      <c r="P4" s="186"/>
      <c r="Q4" s="186"/>
      <c r="R4" s="186"/>
      <c r="S4" s="186"/>
      <c r="T4" s="186"/>
      <c r="U4" s="186"/>
      <c r="V4" s="186"/>
      <c r="W4" s="186"/>
      <c r="X4" s="189"/>
      <c r="Y4" s="186" t="s">
        <v>219</v>
      </c>
      <c r="Z4" s="186"/>
      <c r="AA4" s="186"/>
      <c r="AB4" s="186"/>
      <c r="AC4" s="186"/>
      <c r="AD4" s="186"/>
      <c r="AE4" s="186"/>
      <c r="AF4" s="186"/>
      <c r="AG4" s="189"/>
      <c r="AH4" s="185" t="s">
        <v>220</v>
      </c>
      <c r="AI4" s="186"/>
      <c r="AJ4" s="186"/>
      <c r="AK4" s="189"/>
    </row>
    <row r="5" spans="1:37" ht="16.5" thickBot="1" x14ac:dyDescent="0.35">
      <c r="A5" s="175"/>
      <c r="B5" s="176"/>
      <c r="C5" s="176"/>
      <c r="D5" s="177"/>
      <c r="E5" s="187">
        <v>45782</v>
      </c>
      <c r="F5" s="188"/>
      <c r="G5" s="188"/>
      <c r="H5" s="188"/>
      <c r="I5" s="188"/>
      <c r="J5" s="188"/>
      <c r="K5" s="188"/>
      <c r="L5" s="188"/>
      <c r="M5" s="188"/>
      <c r="N5" s="190" t="s">
        <v>241</v>
      </c>
      <c r="O5" s="191"/>
      <c r="P5" s="191"/>
      <c r="Q5" s="191"/>
      <c r="R5" s="191"/>
      <c r="S5" s="191"/>
      <c r="T5" s="191"/>
      <c r="U5" s="191"/>
      <c r="V5" s="191"/>
      <c r="W5" s="191"/>
      <c r="X5" s="192"/>
      <c r="Y5" s="188" t="s">
        <v>222</v>
      </c>
      <c r="Z5" s="188"/>
      <c r="AA5" s="188"/>
      <c r="AB5" s="188"/>
      <c r="AC5" s="188"/>
      <c r="AD5" s="188"/>
      <c r="AE5" s="188"/>
      <c r="AF5" s="188"/>
      <c r="AG5" s="193"/>
      <c r="AH5" s="194" t="s">
        <v>223</v>
      </c>
      <c r="AI5" s="188"/>
      <c r="AJ5" s="188"/>
      <c r="AK5" s="193"/>
    </row>
    <row r="6" spans="1:37" x14ac:dyDescent="0.3">
      <c r="AD6" s="116"/>
    </row>
    <row r="7" spans="1:37" ht="13.5" x14ac:dyDescent="0.3">
      <c r="A7" s="145" t="s">
        <v>61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row>
    <row r="8" spans="1:37" ht="13.5" x14ac:dyDescent="0.3">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row>
    <row r="9" spans="1:37" ht="13.5" x14ac:dyDescent="0.3">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c r="AE9" s="104"/>
      <c r="AF9" s="104"/>
      <c r="AG9" s="104"/>
      <c r="AH9" s="104"/>
      <c r="AI9" s="104"/>
      <c r="AJ9" s="104"/>
      <c r="AK9" s="104"/>
    </row>
    <row r="10" spans="1:37" ht="18" x14ac:dyDescent="0.25">
      <c r="A10" s="159" t="s">
        <v>213</v>
      </c>
      <c r="B10" s="160"/>
      <c r="C10" s="161" t="s">
        <v>242</v>
      </c>
      <c r="D10" s="162"/>
      <c r="E10" s="162"/>
      <c r="F10" s="162"/>
      <c r="G10" s="162"/>
      <c r="H10" s="162"/>
      <c r="I10" s="162"/>
      <c r="J10" s="162"/>
      <c r="K10" s="162"/>
      <c r="L10" s="162"/>
      <c r="M10" s="162"/>
      <c r="N10" s="163"/>
      <c r="O10" s="164"/>
      <c r="P10" s="165"/>
      <c r="Q10" s="166"/>
      <c r="R10" s="104"/>
      <c r="S10" s="104"/>
      <c r="T10" s="104"/>
      <c r="U10" s="104"/>
      <c r="V10" s="104"/>
      <c r="W10" s="104"/>
      <c r="X10" s="104"/>
      <c r="Y10" s="104"/>
      <c r="Z10" s="104"/>
      <c r="AA10" s="104"/>
      <c r="AB10" s="104"/>
      <c r="AC10" s="104"/>
      <c r="AD10" s="132"/>
      <c r="AE10" s="104"/>
      <c r="AF10" s="104"/>
      <c r="AG10" s="104"/>
      <c r="AH10" s="104"/>
      <c r="AI10" s="104"/>
      <c r="AJ10" s="104"/>
      <c r="AK10" s="104"/>
    </row>
    <row r="11" spans="1:37" ht="49.5" customHeight="1" x14ac:dyDescent="0.25">
      <c r="A11" s="159" t="s">
        <v>62</v>
      </c>
      <c r="B11" s="160"/>
      <c r="C11" s="167" t="s">
        <v>243</v>
      </c>
      <c r="D11" s="162"/>
      <c r="E11" s="162"/>
      <c r="F11" s="162"/>
      <c r="G11" s="162"/>
      <c r="H11" s="162"/>
      <c r="I11" s="162"/>
      <c r="J11" s="162"/>
      <c r="K11" s="162"/>
      <c r="L11" s="162"/>
      <c r="M11" s="162"/>
      <c r="N11" s="163"/>
      <c r="O11" s="104"/>
      <c r="P11" s="104"/>
      <c r="Q11" s="104"/>
      <c r="R11" s="104"/>
      <c r="S11" s="104"/>
      <c r="T11" s="104"/>
      <c r="U11" s="104"/>
      <c r="V11" s="104"/>
      <c r="W11" s="104"/>
      <c r="X11" s="104"/>
      <c r="Y11" s="104"/>
      <c r="Z11" s="104"/>
      <c r="AA11" s="104"/>
      <c r="AB11" s="104"/>
      <c r="AC11" s="104"/>
      <c r="AD11" s="132"/>
      <c r="AE11" s="104"/>
      <c r="AF11" s="104"/>
      <c r="AG11" s="104"/>
      <c r="AH11" s="104"/>
      <c r="AI11" s="104"/>
      <c r="AJ11" s="104"/>
      <c r="AK11" s="104"/>
    </row>
    <row r="12" spans="1:37" ht="76" customHeight="1" x14ac:dyDescent="0.25">
      <c r="A12" s="159" t="s">
        <v>63</v>
      </c>
      <c r="B12" s="160"/>
      <c r="C12" s="167" t="s">
        <v>244</v>
      </c>
      <c r="D12" s="162"/>
      <c r="E12" s="162"/>
      <c r="F12" s="162"/>
      <c r="G12" s="162"/>
      <c r="H12" s="162"/>
      <c r="I12" s="162"/>
      <c r="J12" s="162"/>
      <c r="K12" s="162"/>
      <c r="L12" s="162"/>
      <c r="M12" s="162"/>
      <c r="N12" s="163"/>
      <c r="O12" s="105"/>
      <c r="P12" s="105"/>
      <c r="Q12" s="105"/>
      <c r="R12" s="105"/>
      <c r="S12" s="105"/>
      <c r="T12" s="105"/>
      <c r="U12" s="105"/>
      <c r="V12" s="105"/>
      <c r="W12" s="105"/>
      <c r="X12" s="105"/>
      <c r="Y12" s="105"/>
      <c r="Z12" s="105"/>
      <c r="AA12" s="105"/>
      <c r="AB12" s="105"/>
      <c r="AC12" s="105"/>
      <c r="AD12" s="132"/>
      <c r="AE12" s="105"/>
      <c r="AF12" s="105"/>
      <c r="AG12" s="105"/>
      <c r="AH12" s="105"/>
      <c r="AI12" s="105"/>
      <c r="AJ12" s="105"/>
      <c r="AK12" s="105"/>
    </row>
    <row r="13" spans="1:37" s="118" customFormat="1" x14ac:dyDescent="0.3">
      <c r="A13" s="145" t="s">
        <v>64</v>
      </c>
      <c r="B13" s="140"/>
      <c r="C13" s="140"/>
      <c r="D13" s="140"/>
      <c r="E13" s="140"/>
      <c r="F13" s="140"/>
      <c r="G13" s="140"/>
      <c r="H13" s="145" t="s">
        <v>65</v>
      </c>
      <c r="I13" s="140"/>
      <c r="J13" s="140"/>
      <c r="K13" s="140"/>
      <c r="L13" s="140"/>
      <c r="M13" s="140"/>
      <c r="N13" s="140"/>
      <c r="O13" s="145" t="s">
        <v>66</v>
      </c>
      <c r="P13" s="140"/>
      <c r="Q13" s="140"/>
      <c r="R13" s="140"/>
      <c r="S13" s="140"/>
      <c r="T13" s="140"/>
      <c r="U13" s="140"/>
      <c r="V13" s="140"/>
      <c r="W13" s="140"/>
      <c r="X13" s="145" t="s">
        <v>67</v>
      </c>
      <c r="Y13" s="140"/>
      <c r="Z13" s="140"/>
      <c r="AA13" s="140"/>
      <c r="AB13" s="140"/>
      <c r="AC13" s="140"/>
      <c r="AD13" s="140"/>
      <c r="AE13" s="140"/>
      <c r="AF13" s="145" t="s">
        <v>68</v>
      </c>
      <c r="AG13" s="140"/>
      <c r="AH13" s="140"/>
      <c r="AI13" s="140"/>
      <c r="AJ13" s="140"/>
      <c r="AK13" s="140"/>
    </row>
    <row r="14" spans="1:37" s="118" customFormat="1" ht="13.5" x14ac:dyDescent="0.3">
      <c r="A14" s="168" t="s">
        <v>69</v>
      </c>
      <c r="B14" s="145" t="s">
        <v>15</v>
      </c>
      <c r="C14" s="146" t="s">
        <v>17</v>
      </c>
      <c r="D14" s="146" t="s">
        <v>19</v>
      </c>
      <c r="E14" s="145" t="s">
        <v>21</v>
      </c>
      <c r="F14" s="146" t="s">
        <v>23</v>
      </c>
      <c r="G14" s="146" t="s">
        <v>70</v>
      </c>
      <c r="H14" s="146" t="s">
        <v>71</v>
      </c>
      <c r="I14" s="145" t="s">
        <v>72</v>
      </c>
      <c r="J14" s="146" t="s">
        <v>73</v>
      </c>
      <c r="K14" s="146" t="s">
        <v>74</v>
      </c>
      <c r="L14" s="146" t="s">
        <v>75</v>
      </c>
      <c r="M14" s="145" t="s">
        <v>72</v>
      </c>
      <c r="N14" s="146" t="s">
        <v>29</v>
      </c>
      <c r="O14" s="147" t="s">
        <v>76</v>
      </c>
      <c r="P14" s="146" t="s">
        <v>31</v>
      </c>
      <c r="Q14" s="146" t="s">
        <v>33</v>
      </c>
      <c r="R14" s="146" t="s">
        <v>77</v>
      </c>
      <c r="S14" s="140"/>
      <c r="T14" s="140"/>
      <c r="U14" s="140"/>
      <c r="V14" s="140"/>
      <c r="W14" s="140"/>
      <c r="X14" s="147" t="s">
        <v>78</v>
      </c>
      <c r="Y14" s="147" t="s">
        <v>79</v>
      </c>
      <c r="Z14" s="147" t="s">
        <v>72</v>
      </c>
      <c r="AA14" s="147" t="s">
        <v>80</v>
      </c>
      <c r="AB14" s="147" t="s">
        <v>72</v>
      </c>
      <c r="AC14" s="147" t="s">
        <v>240</v>
      </c>
      <c r="AD14" s="136" t="s">
        <v>81</v>
      </c>
      <c r="AE14" s="147" t="s">
        <v>50</v>
      </c>
      <c r="AF14" s="146" t="s">
        <v>68</v>
      </c>
      <c r="AG14" s="146" t="s">
        <v>82</v>
      </c>
      <c r="AH14" s="146" t="s">
        <v>83</v>
      </c>
      <c r="AI14" s="146" t="s">
        <v>84</v>
      </c>
      <c r="AJ14" s="146" t="s">
        <v>85</v>
      </c>
      <c r="AK14" s="146" t="s">
        <v>54</v>
      </c>
    </row>
    <row r="15" spans="1:37" s="118" customFormat="1" ht="94.5" x14ac:dyDescent="0.3">
      <c r="A15" s="140"/>
      <c r="B15" s="140"/>
      <c r="C15" s="140"/>
      <c r="D15" s="140"/>
      <c r="E15" s="140"/>
      <c r="F15" s="140"/>
      <c r="G15" s="140"/>
      <c r="H15" s="140"/>
      <c r="I15" s="140"/>
      <c r="J15" s="140"/>
      <c r="K15" s="140"/>
      <c r="L15" s="140"/>
      <c r="M15" s="140"/>
      <c r="N15" s="140"/>
      <c r="O15" s="140"/>
      <c r="P15" s="140"/>
      <c r="Q15" s="140"/>
      <c r="R15" s="119" t="s">
        <v>86</v>
      </c>
      <c r="S15" s="119" t="s">
        <v>87</v>
      </c>
      <c r="T15" s="119" t="s">
        <v>88</v>
      </c>
      <c r="U15" s="119" t="s">
        <v>89</v>
      </c>
      <c r="V15" s="119" t="s">
        <v>90</v>
      </c>
      <c r="W15" s="119" t="s">
        <v>91</v>
      </c>
      <c r="X15" s="140"/>
      <c r="Y15" s="140"/>
      <c r="Z15" s="140"/>
      <c r="AA15" s="140"/>
      <c r="AB15" s="140"/>
      <c r="AC15" s="140"/>
      <c r="AD15" s="137"/>
      <c r="AE15" s="140"/>
      <c r="AF15" s="140"/>
      <c r="AG15" s="140"/>
      <c r="AH15" s="140"/>
      <c r="AI15" s="140"/>
      <c r="AJ15" s="140"/>
      <c r="AK15" s="140"/>
    </row>
    <row r="16" spans="1:37" ht="146.5" customHeight="1" x14ac:dyDescent="0.3">
      <c r="A16" s="153">
        <v>1</v>
      </c>
      <c r="B16" s="332" t="s">
        <v>197</v>
      </c>
      <c r="C16" s="332" t="s">
        <v>245</v>
      </c>
      <c r="D16" s="332" t="s">
        <v>248</v>
      </c>
      <c r="E16" s="332" t="s">
        <v>251</v>
      </c>
      <c r="F16" s="332" t="s">
        <v>203</v>
      </c>
      <c r="G16" s="333">
        <f>127*12</f>
        <v>1524</v>
      </c>
      <c r="H16" s="139" t="str">
        <f>IF(G16&lt;=0,"",IF(G16&lt;=2,"Muy Baja",IF(G16&lt;=24,"Baja",IF(G16&lt;=500,"Media",IF(G16&lt;=5000,"Alta","Muy Alta")))))</f>
        <v>Alta</v>
      </c>
      <c r="I16" s="141">
        <f>IF(H16="","",IF(H16="Muy Baja",0.2,IF(H16="Baja",0.4,IF(H16="Media",0.6,IF(H16="Alta",0.8,IF(H16="Muy Alta",1,))))))</f>
        <v>0.8</v>
      </c>
      <c r="J16" s="143" t="s">
        <v>151</v>
      </c>
      <c r="K16" s="141" t="str">
        <f>IF(NOT(ISERROR(MATCH(J16,'[1]Tabla Impacto'!$B$221:$B$223,0))),'[1]Tabla Impacto'!$F$223&amp;"Por favor no seleccionar los criterios de impacto(Afectación Económica o presupuestal y Pérdida Reputacional)",J16)</f>
        <v xml:space="preserve">     El riesgo afecta la imagen de la entidad con algunos usuarios de relevancia frente al logro de los objetivos</v>
      </c>
      <c r="L16" s="139" t="str">
        <f>IF(OR(K16='[1]Tabla Impacto'!$C$11,K16='[1]Tabla Impacto'!$D$11),"Leve",IF(OR(K16='[1]Tabla Impacto'!$C$12,K16='[1]Tabla Impacto'!$D$12),"Menor",IF(OR(K16='[1]Tabla Impacto'!$C$13,K16='[1]Tabla Impacto'!$D$13),"Moderado",IF(OR(K16='[1]Tabla Impacto'!$C$14,K16='[1]Tabla Impacto'!$D$14),"Mayor",IF(OR(K16='[1]Tabla Impacto'!$C$15,K16='[1]Tabla Impacto'!$D$15),"Catastrófico","")))))</f>
        <v>Moderado</v>
      </c>
      <c r="M16" s="141">
        <f>IF(L16="","",IF(L16="Leve",0.2,IF(L16="Menor",0.4,IF(L16="Moderado",0.6,IF(L16="Mayor",0.8,IF(L16="Catastrófico",1,))))))</f>
        <v>0.6</v>
      </c>
      <c r="N16" s="142"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06">
        <v>1</v>
      </c>
      <c r="P16" s="130" t="s">
        <v>254</v>
      </c>
      <c r="Q16" s="110" t="str">
        <f t="shared" ref="Q16:Q43" si="0">IF(OR(R16="Preventivo",R16="Detectivo"),"Probabilidad",IF(R16="Correctivo","Impacto",""))</f>
        <v>Probabilidad</v>
      </c>
      <c r="R16" s="108" t="s">
        <v>169</v>
      </c>
      <c r="S16" s="108" t="s">
        <v>175</v>
      </c>
      <c r="T16" s="111" t="str">
        <f t="shared" ref="T16:T40" si="1">IF(AND(R16="Preventivo",S16="Automático"),"50%",IF(AND(R16="Preventivo",S16="Manual"),"40%",IF(AND(R16="Detectivo",S16="Automático"),"40%",IF(AND(R16="Detectivo",S16="Manual"),"30%",IF(AND(R16="Correctivo",S16="Automático"),"35%",IF(AND(R16="Correctivo",S16="Manual"),"25%",""))))))</f>
        <v>30%</v>
      </c>
      <c r="U16" s="131" t="s">
        <v>178</v>
      </c>
      <c r="V16" s="131" t="s">
        <v>183</v>
      </c>
      <c r="W16" s="131" t="s">
        <v>187</v>
      </c>
      <c r="X16" s="112">
        <f>IFERROR(IF(Q16="Probabilidad",(I16-(+I16*T16)),IF(Q16="Impacto",I16,"")),"")</f>
        <v>0.56000000000000005</v>
      </c>
      <c r="Y16" s="113" t="str">
        <f t="shared" ref="Y16:Y43" si="2">IFERROR(IF(X16="","",IF(X16&lt;=0.2,"Muy Baja",IF(X16&lt;=0.4,"Baja",IF(X16&lt;=0.6,"Media",IF(X16&lt;=0.8,"Alta","Muy Alta"))))),"")</f>
        <v>Media</v>
      </c>
      <c r="Z16" s="111">
        <f t="shared" ref="Z16:Z43" si="3">+X16</f>
        <v>0.56000000000000005</v>
      </c>
      <c r="AA16" s="113" t="str">
        <f t="shared" ref="AA16:AA43" si="4">IFERROR(IF(AB16="","",IF(AB16&lt;=0.2,"Leve",IF(AB16&lt;=0.4,"Menor",IF(AB16&lt;=0.6,"Moderado",IF(AB16&lt;=0.8,"Mayor","Catastrófico"))))),"")</f>
        <v>Moderado</v>
      </c>
      <c r="AB16" s="111">
        <f>IFERROR(IF(Q16="Impacto",(M16-(+M16*T16)),IF(Q16="Probabilidad",M16,"")),"")</f>
        <v>0.6</v>
      </c>
      <c r="AC16" s="114" t="str">
        <f t="shared" ref="AC16:AC43" si="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3" t="str">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Moderado</v>
      </c>
      <c r="AE16" s="156" t="s">
        <v>198</v>
      </c>
      <c r="AF16" s="107"/>
      <c r="AG16" s="107"/>
      <c r="AH16" s="109"/>
      <c r="AI16" s="109"/>
      <c r="AJ16" s="107"/>
      <c r="AK16" s="106"/>
    </row>
    <row r="17" spans="1:37" ht="13.5" hidden="1" x14ac:dyDescent="0.3">
      <c r="A17" s="154"/>
      <c r="B17" s="334"/>
      <c r="C17" s="332"/>
      <c r="D17" s="332"/>
      <c r="E17" s="334"/>
      <c r="F17" s="334"/>
      <c r="G17" s="334"/>
      <c r="H17" s="140"/>
      <c r="I17" s="140"/>
      <c r="J17" s="144"/>
      <c r="K17" s="140"/>
      <c r="L17" s="140"/>
      <c r="M17" s="140"/>
      <c r="N17" s="140"/>
      <c r="O17" s="106">
        <v>2</v>
      </c>
      <c r="P17" s="130"/>
      <c r="Q17" s="110" t="str">
        <f t="shared" si="0"/>
        <v/>
      </c>
      <c r="R17" s="108"/>
      <c r="S17" s="108"/>
      <c r="T17" s="111" t="str">
        <f t="shared" ref="T17:T18" si="6">IF(AND(R17="Preventivo",S17="Automático"),"50%",IF(AND(R17="Preventivo",S17="Manual"),"40%",IF(AND(R17="Detectivo",S17="Automático"),"40%",IF(AND(R17="Detectivo",S17="Manual"),"30%",IF(AND(R17="Correctivo",S17="Automático"),"35%",IF(AND(R17="Correctivo",S17="Manual"),"25%",""))))))</f>
        <v/>
      </c>
      <c r="U17" s="131"/>
      <c r="V17" s="131"/>
      <c r="W17" s="131"/>
      <c r="X17" s="112" t="str">
        <f>IFERROR(IF(AND(Q16="Probabilidad",Q17="Probabilidad"),(Z16-(+Z16*T17)),IF(Q17="Probabilidad",(I16-(+I16*T17)),IF(Q17="Impacto",Z16,""))),"")</f>
        <v/>
      </c>
      <c r="Y17" s="113" t="str">
        <f t="shared" si="2"/>
        <v/>
      </c>
      <c r="Z17" s="111" t="str">
        <f t="shared" si="3"/>
        <v/>
      </c>
      <c r="AA17" s="113" t="str">
        <f t="shared" si="4"/>
        <v/>
      </c>
      <c r="AB17" s="111" t="str">
        <f>IFERROR(IF(AND(Q16="Impacto",Q17="Impacto"),(AB16-(+AB16*T17)),IF(Q17="Impacto",($M$16-(+$M$16*T17)),IF(Q17="Probabilidad",AB16,""))),"")</f>
        <v/>
      </c>
      <c r="AC17" s="114" t="str">
        <f t="shared" si="5"/>
        <v/>
      </c>
      <c r="AD17" s="134"/>
      <c r="AE17" s="157"/>
      <c r="AF17" s="107"/>
      <c r="AG17" s="107"/>
      <c r="AH17" s="109"/>
      <c r="AI17" s="109"/>
      <c r="AJ17" s="107"/>
      <c r="AK17" s="106"/>
    </row>
    <row r="18" spans="1:37" ht="112.5" hidden="1" customHeight="1" x14ac:dyDescent="0.3">
      <c r="A18" s="155"/>
      <c r="B18" s="334"/>
      <c r="C18" s="332"/>
      <c r="D18" s="332"/>
      <c r="E18" s="334"/>
      <c r="F18" s="334"/>
      <c r="G18" s="334"/>
      <c r="H18" s="140"/>
      <c r="I18" s="140"/>
      <c r="J18" s="144"/>
      <c r="K18" s="140"/>
      <c r="L18" s="140"/>
      <c r="M18" s="140"/>
      <c r="N18" s="140"/>
      <c r="O18" s="106">
        <v>3</v>
      </c>
      <c r="P18" s="130"/>
      <c r="Q18" s="110" t="str">
        <f t="shared" si="0"/>
        <v/>
      </c>
      <c r="R18" s="108"/>
      <c r="S18" s="108"/>
      <c r="T18" s="111" t="str">
        <f t="shared" si="6"/>
        <v/>
      </c>
      <c r="U18" s="131"/>
      <c r="V18" s="131"/>
      <c r="W18" s="131"/>
      <c r="X18" s="112" t="str">
        <f>IFERROR(IF(AND(Q17="Probabilidad",Q18="Probabilidad"),(Z17-(+Z17*T18)),IF(AND(Q17="Impacto",Q18="Probabilidad"),(Z16-(+Z16*T18)),IF(Q18="Impacto",Z17,""))),"")</f>
        <v/>
      </c>
      <c r="Y18" s="113" t="str">
        <f t="shared" si="2"/>
        <v/>
      </c>
      <c r="Z18" s="111" t="str">
        <f t="shared" si="3"/>
        <v/>
      </c>
      <c r="AA18" s="113" t="str">
        <f t="shared" si="4"/>
        <v/>
      </c>
      <c r="AB18" s="111" t="str">
        <f>IFERROR(IF(AND(Q17="Impacto",Q18="Impacto"),(AB17-(+AB17*T18)),IF(AND(Q17="Probabilidad",Q18="Impacto"),(AB16-(+AB16*T18)),IF(Q18="Probabilidad",AB17,""))),"")</f>
        <v/>
      </c>
      <c r="AC18" s="114" t="str">
        <f t="shared" si="5"/>
        <v/>
      </c>
      <c r="AD18" s="135"/>
      <c r="AE18" s="158"/>
      <c r="AF18" s="107"/>
      <c r="AG18" s="107"/>
      <c r="AH18" s="109"/>
      <c r="AI18" s="109"/>
      <c r="AJ18" s="107"/>
      <c r="AK18" s="106"/>
    </row>
    <row r="19" spans="1:37" ht="18.75" hidden="1" customHeight="1" x14ac:dyDescent="0.3">
      <c r="A19" s="122"/>
      <c r="B19" s="335"/>
      <c r="C19" s="335"/>
      <c r="D19" s="335"/>
      <c r="E19" s="335"/>
      <c r="F19" s="335"/>
      <c r="G19" s="336"/>
      <c r="H19" s="127" t="str">
        <f>IF(G19&lt;=0,"",IF(G19&lt;=2,"Muy Baja",IF(G19&lt;=24,"Baja",IF(G19&lt;=500,"Media",IF(G19&lt;=5000,"Alta","Muy Alta")))))</f>
        <v/>
      </c>
      <c r="I19" s="126" t="str">
        <f>IF(H19="","",IF(H19="Muy Baja",0.2,IF(H19="Baja",0.4,IF(H19="Media",0.6,IF(H19="Alta",0.8,IF(H19="Muy Alta",1,))))))</f>
        <v/>
      </c>
      <c r="J19" s="144"/>
      <c r="K19" s="126">
        <f ca="1">IF(NOT(ISERROR(MATCH(J19,'Tabla Impacto'!$B$221:$B$223,0))),'Tabla Impacto'!$F$223&amp;"Por favor no seleccionar los criterios de impacto(Afectación Económica o presupuestal y Pérdida Reputacional)",J19)</f>
        <v>0</v>
      </c>
      <c r="L19" s="127" t="str">
        <f ca="1">IF(OR(K19='Tabla Impacto'!$C$11,K19='Tabla Impacto'!$D$11),"Leve",IF(OR(K19='Tabla Impacto'!$C$12,K19='Tabla Impacto'!$D$12),"Menor",IF(OR(K19='Tabla Impacto'!$C$13,K19='Tabla Impacto'!$D$13),"Moderado",IF(OR(K19='Tabla Impacto'!$C$14,K19='Tabla Impacto'!$D$14),"Mayor",IF(OR(K19='Tabla Impacto'!$C$15,K19='Tabla Impacto'!$D$15),"Catastrófico","")))))</f>
        <v/>
      </c>
      <c r="M19" s="126" t="str">
        <f ca="1">IF(L19="","",IF(L19="Leve",0.2,IF(L19="Menor",0.4,IF(L19="Moderado",0.6,IF(L19="Mayor",0.8,IF(L19="Catastrófico",1,))))))</f>
        <v/>
      </c>
      <c r="N19" s="128"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06"/>
      <c r="P19" s="130"/>
      <c r="Q19" s="110" t="str">
        <f t="shared" si="0"/>
        <v/>
      </c>
      <c r="R19" s="108"/>
      <c r="S19" s="108"/>
      <c r="T19" s="111" t="str">
        <f t="shared" si="1"/>
        <v/>
      </c>
      <c r="U19" s="108"/>
      <c r="V19" s="108"/>
      <c r="W19" s="108"/>
      <c r="X19" s="112" t="str">
        <f t="shared" ref="X19:X40" si="7">IFERROR(IF(Q19="Probabilidad",(I19-(+I19*T19)),IF(Q19="Impacto",I19,"")),"")</f>
        <v/>
      </c>
      <c r="Y19" s="113" t="str">
        <f t="shared" si="2"/>
        <v/>
      </c>
      <c r="Z19" s="111" t="str">
        <f t="shared" si="3"/>
        <v/>
      </c>
      <c r="AA19" s="113" t="str">
        <f t="shared" si="4"/>
        <v/>
      </c>
      <c r="AB19" s="111" t="str">
        <f t="shared" ref="AB19:AB40" si="8">IFERROR(IF(Q19="Impacto",(M19-(+M19*T19)),IF(Q19="Probabilidad",M19,"")),"")</f>
        <v/>
      </c>
      <c r="AC19" s="114" t="str">
        <f t="shared" si="5"/>
        <v/>
      </c>
      <c r="AD19" s="123"/>
      <c r="AE19" s="108"/>
      <c r="AF19" s="107"/>
      <c r="AG19" s="107"/>
      <c r="AH19" s="109"/>
      <c r="AI19" s="109"/>
      <c r="AJ19" s="107"/>
      <c r="AK19" s="106"/>
    </row>
    <row r="20" spans="1:37" ht="18.75" hidden="1" customHeight="1" x14ac:dyDescent="0.3">
      <c r="A20" s="115"/>
      <c r="B20" s="335"/>
      <c r="C20" s="335"/>
      <c r="D20" s="335"/>
      <c r="E20" s="335"/>
      <c r="F20" s="335"/>
      <c r="G20" s="336"/>
      <c r="H20" s="127" t="str">
        <f>IF(G20&lt;=0,"",IF(G20&lt;=2,"Muy Baja",IF(G20&lt;=24,"Baja",IF(G20&lt;=500,"Media",IF(G20&lt;=5000,"Alta","Muy Alta")))))</f>
        <v/>
      </c>
      <c r="I20" s="126" t="str">
        <f>IF(H20="","",IF(H20="Muy Baja",0.2,IF(H20="Baja",0.4,IF(H20="Media",0.6,IF(H20="Alta",0.8,IF(H20="Muy Alta",1,))))))</f>
        <v/>
      </c>
      <c r="J20" s="125"/>
      <c r="K20" s="126">
        <f ca="1">IF(NOT(ISERROR(MATCH(J20,'Tabla Impacto'!$B$221:$B$223,0))),'Tabla Impacto'!$F$223&amp;"Por favor no seleccionar los criterios de impacto(Afectación Económica o presupuestal y Pérdida Reputacional)",J20)</f>
        <v>0</v>
      </c>
      <c r="L20" s="127" t="str">
        <f ca="1">IF(OR(K20='Tabla Impacto'!$C$11,K20='Tabla Impacto'!$D$11),"Leve",IF(OR(K20='Tabla Impacto'!$C$12,K20='Tabla Impacto'!$D$12),"Menor",IF(OR(K20='Tabla Impacto'!$C$13,K20='Tabla Impacto'!$D$13),"Moderado",IF(OR(K20='Tabla Impacto'!$C$14,K20='Tabla Impacto'!$D$14),"Mayor",IF(OR(K20='Tabla Impacto'!$C$15,K20='Tabla Impacto'!$D$15),"Catastrófico","")))))</f>
        <v/>
      </c>
      <c r="M20" s="126" t="str">
        <f ca="1">IF(L20="","",IF(L20="Leve",0.2,IF(L20="Menor",0.4,IF(L20="Moderado",0.6,IF(L20="Mayor",0.8,IF(L20="Catastrófico",1,))))))</f>
        <v/>
      </c>
      <c r="N20" s="128" t="str">
        <f ca="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106"/>
      <c r="P20" s="130"/>
      <c r="Q20" s="110" t="str">
        <f t="shared" si="0"/>
        <v/>
      </c>
      <c r="R20" s="108"/>
      <c r="S20" s="108"/>
      <c r="T20" s="111" t="str">
        <f t="shared" si="1"/>
        <v/>
      </c>
      <c r="U20" s="108"/>
      <c r="V20" s="108"/>
      <c r="W20" s="108"/>
      <c r="X20" s="112" t="str">
        <f t="shared" si="7"/>
        <v/>
      </c>
      <c r="Y20" s="113" t="str">
        <f t="shared" si="2"/>
        <v/>
      </c>
      <c r="Z20" s="111" t="str">
        <f t="shared" si="3"/>
        <v/>
      </c>
      <c r="AA20" s="113" t="str">
        <f t="shared" si="4"/>
        <v/>
      </c>
      <c r="AB20" s="111" t="str">
        <f t="shared" si="8"/>
        <v/>
      </c>
      <c r="AC20" s="114" t="str">
        <f t="shared" si="5"/>
        <v/>
      </c>
      <c r="AD20" s="121"/>
      <c r="AE20" s="108"/>
      <c r="AF20" s="107"/>
      <c r="AG20" s="107"/>
      <c r="AH20" s="109"/>
      <c r="AI20" s="109"/>
      <c r="AJ20" s="107"/>
      <c r="AK20" s="106"/>
    </row>
    <row r="21" spans="1:37" ht="87.5" x14ac:dyDescent="0.3">
      <c r="A21" s="149">
        <v>2</v>
      </c>
      <c r="B21" s="337" t="s">
        <v>197</v>
      </c>
      <c r="C21" s="332" t="s">
        <v>246</v>
      </c>
      <c r="D21" s="332" t="s">
        <v>249</v>
      </c>
      <c r="E21" s="332" t="s">
        <v>252</v>
      </c>
      <c r="F21" s="332" t="s">
        <v>203</v>
      </c>
      <c r="G21" s="333">
        <v>12</v>
      </c>
      <c r="H21" s="139" t="str">
        <f>IF(G21&lt;=0,"",IF(G21&lt;=2,"Muy Baja",IF(G21&lt;=24,"Baja",IF(G21&lt;=500,"Media",IF(G21&lt;=5000,"Alta","Muy Alta")))))</f>
        <v>Baja</v>
      </c>
      <c r="I21" s="141">
        <f>IF(H21="","",IF(H21="Muy Baja",0.2,IF(H21="Baja",0.4,IF(H21="Media",0.6,IF(H21="Alta",0.8,IF(H21="Muy Alta",1,))))))</f>
        <v>0.4</v>
      </c>
      <c r="J21" s="143" t="s">
        <v>151</v>
      </c>
      <c r="K21" s="141" t="str">
        <f>IF(NOT(ISERROR(MATCH(J21,'[1]Tabla Impacto'!$B$221:$B$223,0))),'[1]Tabla Impacto'!$F$223&amp;"Por favor no seleccionar los criterios de impacto(Afectación Económica o presupuestal y Pérdida Reputacional)",J21)</f>
        <v xml:space="preserve">     El riesgo afecta la imagen de la entidad con algunos usuarios de relevancia frente al logro de los objetivos</v>
      </c>
      <c r="L21" s="139" t="str">
        <f>IF(OR(K21='[1]Tabla Impacto'!$C$11,K21='[1]Tabla Impacto'!$D$11),"Leve",IF(OR(K21='[1]Tabla Impacto'!$C$12,K21='[1]Tabla Impacto'!$D$12),"Menor",IF(OR(K21='[1]Tabla Impacto'!$C$13,K21='[1]Tabla Impacto'!$D$13),"Moderado",IF(OR(K21='[1]Tabla Impacto'!$C$14,K21='[1]Tabla Impacto'!$D$14),"Mayor",IF(OR(K21='[1]Tabla Impacto'!$C$15,K21='[1]Tabla Impacto'!$D$15),"Catastrófico","")))))</f>
        <v>Moderado</v>
      </c>
      <c r="M21" s="141">
        <f>IF(L21="","",IF(L21="Leve",0.2,IF(L21="Menor",0.4,IF(L21="Moderado",0.6,IF(L21="Mayor",0.8,IF(L21="Catastrófico",1,))))))</f>
        <v>0.6</v>
      </c>
      <c r="N21" s="142"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106">
        <v>1</v>
      </c>
      <c r="P21" s="130" t="s">
        <v>255</v>
      </c>
      <c r="Q21" s="110" t="str">
        <f t="shared" si="0"/>
        <v>Probabilidad</v>
      </c>
      <c r="R21" s="108" t="s">
        <v>167</v>
      </c>
      <c r="S21" s="108" t="s">
        <v>175</v>
      </c>
      <c r="T21" s="111" t="str">
        <f t="shared" ref="T21:T23" si="9">IF(AND(R21="Preventivo",S21="Automático"),"50%",IF(AND(R21="Preventivo",S21="Manual"),"40%",IF(AND(R21="Detectivo",S21="Automático"),"40%",IF(AND(R21="Detectivo",S21="Manual"),"30%",IF(AND(R21="Correctivo",S21="Automático"),"35%",IF(AND(R21="Correctivo",S21="Manual"),"25%",""))))))</f>
        <v>40%</v>
      </c>
      <c r="U21" s="131" t="s">
        <v>178</v>
      </c>
      <c r="V21" s="131" t="s">
        <v>183</v>
      </c>
      <c r="W21" s="131" t="s">
        <v>187</v>
      </c>
      <c r="X21" s="112">
        <f>IFERROR(IF(Q21="Probabilidad",(I21-(+I21*T21)),IF(Q21="Impacto",I21,"")),"")</f>
        <v>0.24</v>
      </c>
      <c r="Y21" s="113" t="str">
        <f t="shared" si="2"/>
        <v>Baja</v>
      </c>
      <c r="Z21" s="111">
        <f t="shared" si="3"/>
        <v>0.24</v>
      </c>
      <c r="AA21" s="113" t="str">
        <f t="shared" si="4"/>
        <v>Moderado</v>
      </c>
      <c r="AB21" s="111">
        <f>IFERROR(IF(Q21="Impacto",(M21-(+M21*T21)),IF(Q21="Probabilidad",M21,"")),"")</f>
        <v>0.6</v>
      </c>
      <c r="AC21" s="114" t="str">
        <f t="shared" si="5"/>
        <v>Moderado</v>
      </c>
      <c r="AD21" s="133" t="str">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Moderado</v>
      </c>
      <c r="AE21" s="156" t="s">
        <v>198</v>
      </c>
      <c r="AF21" s="107"/>
      <c r="AG21" s="107"/>
      <c r="AH21" s="109"/>
      <c r="AI21" s="109"/>
      <c r="AJ21" s="107"/>
      <c r="AK21" s="106"/>
    </row>
    <row r="22" spans="1:37" ht="112.5" x14ac:dyDescent="0.3">
      <c r="A22" s="144"/>
      <c r="B22" s="338"/>
      <c r="C22" s="332"/>
      <c r="D22" s="332"/>
      <c r="E22" s="334"/>
      <c r="F22" s="334"/>
      <c r="G22" s="334"/>
      <c r="H22" s="140"/>
      <c r="I22" s="140"/>
      <c r="J22" s="144"/>
      <c r="K22" s="140"/>
      <c r="L22" s="140"/>
      <c r="M22" s="140"/>
      <c r="N22" s="140"/>
      <c r="O22" s="106">
        <v>2</v>
      </c>
      <c r="P22" s="130" t="s">
        <v>256</v>
      </c>
      <c r="Q22" s="110" t="str">
        <f t="shared" si="0"/>
        <v>Probabilidad</v>
      </c>
      <c r="R22" s="108" t="s">
        <v>169</v>
      </c>
      <c r="S22" s="108" t="s">
        <v>175</v>
      </c>
      <c r="T22" s="111" t="str">
        <f t="shared" si="9"/>
        <v>30%</v>
      </c>
      <c r="U22" s="131" t="s">
        <v>178</v>
      </c>
      <c r="V22" s="131" t="s">
        <v>183</v>
      </c>
      <c r="W22" s="131" t="s">
        <v>187</v>
      </c>
      <c r="X22" s="112">
        <f>IFERROR(IF(AND(Q21="Probabilidad",Q22="Probabilidad"),(Z21-(+Z21*T22)),IF(Q22="Probabilidad",(I21-(+I21*T22)),IF(Q22="Impacto",Z21,""))),"")</f>
        <v>0.16799999999999998</v>
      </c>
      <c r="Y22" s="113" t="str">
        <f t="shared" si="2"/>
        <v>Muy Baja</v>
      </c>
      <c r="Z22" s="111">
        <f t="shared" si="3"/>
        <v>0.16799999999999998</v>
      </c>
      <c r="AA22" s="113" t="str">
        <f t="shared" si="4"/>
        <v>Moderado</v>
      </c>
      <c r="AB22" s="111">
        <f>IFERROR(IF(AND(Q21="Impacto",Q22="Impacto"),(AB21-(+AB21*T22)),IF(Q22="Impacto",($M$16-(+$M$16*T22)),IF(Q22="Probabilidad",AB21,""))),"")</f>
        <v>0.6</v>
      </c>
      <c r="AC22" s="114" t="str">
        <f t="shared" si="5"/>
        <v>Moderado</v>
      </c>
      <c r="AD22" s="134"/>
      <c r="AE22" s="157"/>
      <c r="AF22" s="107"/>
      <c r="AG22" s="107"/>
      <c r="AH22" s="109"/>
      <c r="AI22" s="109"/>
      <c r="AJ22" s="107"/>
      <c r="AK22" s="106"/>
    </row>
    <row r="23" spans="1:37" ht="123.5" hidden="1" customHeight="1" x14ac:dyDescent="0.3">
      <c r="A23" s="144"/>
      <c r="B23" s="339"/>
      <c r="C23" s="332"/>
      <c r="D23" s="332"/>
      <c r="E23" s="334"/>
      <c r="F23" s="334"/>
      <c r="G23" s="334"/>
      <c r="H23" s="140"/>
      <c r="I23" s="140"/>
      <c r="J23" s="144"/>
      <c r="K23" s="140"/>
      <c r="L23" s="140"/>
      <c r="M23" s="140"/>
      <c r="N23" s="140"/>
      <c r="O23" s="106">
        <v>3</v>
      </c>
      <c r="P23" s="130"/>
      <c r="Q23" s="110" t="str">
        <f t="shared" si="0"/>
        <v/>
      </c>
      <c r="R23" s="108"/>
      <c r="S23" s="108"/>
      <c r="T23" s="111" t="str">
        <f t="shared" si="9"/>
        <v/>
      </c>
      <c r="U23" s="131"/>
      <c r="V23" s="131"/>
      <c r="W23" s="131"/>
      <c r="X23" s="112" t="str">
        <f>IFERROR(IF(AND(Q22="Probabilidad",Q23="Probabilidad"),(Z22-(+Z22*T23)),IF(AND(Q22="Impacto",Q23="Probabilidad"),(Z21-(+Z21*T23)),IF(Q23="Impacto",Z22,""))),"")</f>
        <v/>
      </c>
      <c r="Y23" s="113" t="str">
        <f t="shared" si="2"/>
        <v/>
      </c>
      <c r="Z23" s="111" t="str">
        <f t="shared" si="3"/>
        <v/>
      </c>
      <c r="AA23" s="113" t="str">
        <f t="shared" si="4"/>
        <v/>
      </c>
      <c r="AB23" s="111" t="str">
        <f>IFERROR(IF(AND(Q22="Impacto",Q23="Impacto"),(AB22-(+AB22*T23)),IF(AND(Q22="Probabilidad",Q23="Impacto"),(AB21-(+AB21*T23)),IF(Q23="Probabilidad",AB22,""))),"")</f>
        <v/>
      </c>
      <c r="AC23" s="114" t="str">
        <f t="shared" si="5"/>
        <v/>
      </c>
      <c r="AD23" s="135"/>
      <c r="AE23" s="158"/>
      <c r="AF23" s="107"/>
      <c r="AG23" s="107"/>
      <c r="AH23" s="109"/>
      <c r="AI23" s="109"/>
      <c r="AJ23" s="107"/>
      <c r="AK23" s="106"/>
    </row>
    <row r="24" spans="1:37" ht="16.5" hidden="1" customHeight="1" x14ac:dyDescent="0.3">
      <c r="A24" s="115"/>
      <c r="B24" s="335"/>
      <c r="C24" s="335"/>
      <c r="D24" s="335"/>
      <c r="E24" s="335"/>
      <c r="F24" s="335"/>
      <c r="G24" s="336"/>
      <c r="H24" s="127" t="str">
        <f>IF(G24&lt;=0,"",IF(G24&lt;=2,"Muy Baja",IF(G24&lt;=24,"Baja",IF(G24&lt;=500,"Media",IF(G24&lt;=5000,"Alta","Muy Alta")))))</f>
        <v/>
      </c>
      <c r="I24" s="126" t="str">
        <f>IF(H24="","",IF(H24="Muy Baja",0.2,IF(H24="Baja",0.4,IF(H24="Media",0.6,IF(H24="Alta",0.8,IF(H24="Muy Alta",1,))))))</f>
        <v/>
      </c>
      <c r="J24" s="144"/>
      <c r="K24" s="126">
        <f ca="1">IF(NOT(ISERROR(MATCH(J24,'Tabla Impacto'!$B$221:$B$223,0))),'Tabla Impacto'!$F$223&amp;"Por favor no seleccionar los criterios de impacto(Afectación Económica o presupuestal y Pérdida Reputacional)",J24)</f>
        <v>0</v>
      </c>
      <c r="L24" s="127" t="str">
        <f ca="1">IF(OR(K24='Tabla Impacto'!$C$11,K24='Tabla Impacto'!$D$11),"Leve",IF(OR(K24='Tabla Impacto'!$C$12,K24='Tabla Impacto'!$D$12),"Menor",IF(OR(K24='Tabla Impacto'!$C$13,K24='Tabla Impacto'!$D$13),"Moderado",IF(OR(K24='Tabla Impacto'!$C$14,K24='Tabla Impacto'!$D$14),"Mayor",IF(OR(K24='Tabla Impacto'!$C$15,K24='Tabla Impacto'!$D$15),"Catastrófico","")))))</f>
        <v/>
      </c>
      <c r="M24" s="126" t="str">
        <f ca="1">IF(L24="","",IF(L24="Leve",0.2,IF(L24="Menor",0.4,IF(L24="Moderado",0.6,IF(L24="Mayor",0.8,IF(L24="Catastrófico",1,))))))</f>
        <v/>
      </c>
      <c r="N24" s="128"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c r="P24" s="130"/>
      <c r="Q24" s="110" t="str">
        <f t="shared" si="0"/>
        <v/>
      </c>
      <c r="R24" s="108"/>
      <c r="S24" s="108"/>
      <c r="T24" s="111"/>
      <c r="U24" s="108"/>
      <c r="V24" s="108"/>
      <c r="W24" s="108"/>
      <c r="X24" s="112" t="str">
        <f t="shared" si="7"/>
        <v/>
      </c>
      <c r="Y24" s="113" t="str">
        <f t="shared" si="2"/>
        <v/>
      </c>
      <c r="Z24" s="111" t="str">
        <f t="shared" si="3"/>
        <v/>
      </c>
      <c r="AA24" s="113" t="str">
        <f t="shared" si="4"/>
        <v/>
      </c>
      <c r="AB24" s="111" t="str">
        <f t="shared" si="8"/>
        <v/>
      </c>
      <c r="AC24" s="114" t="str">
        <f t="shared" si="5"/>
        <v/>
      </c>
      <c r="AD24" s="123"/>
      <c r="AE24" s="108"/>
      <c r="AF24" s="107"/>
      <c r="AG24" s="107"/>
      <c r="AH24" s="109"/>
      <c r="AI24" s="109"/>
      <c r="AJ24" s="107"/>
      <c r="AK24" s="106"/>
    </row>
    <row r="25" spans="1:37" ht="16.5" hidden="1" customHeight="1" x14ac:dyDescent="0.3">
      <c r="A25" s="115"/>
      <c r="B25" s="335"/>
      <c r="C25" s="335"/>
      <c r="D25" s="335"/>
      <c r="E25" s="335"/>
      <c r="F25" s="335"/>
      <c r="G25" s="336"/>
      <c r="H25" s="127" t="str">
        <f>IF(G25&lt;=0,"",IF(G25&lt;=2,"Muy Baja",IF(G25&lt;=24,"Baja",IF(G25&lt;=500,"Media",IF(G25&lt;=5000,"Alta","Muy Alta")))))</f>
        <v/>
      </c>
      <c r="I25" s="126" t="str">
        <f>IF(H25="","",IF(H25="Muy Baja",0.2,IF(H25="Baja",0.4,IF(H25="Media",0.6,IF(H25="Alta",0.8,IF(H25="Muy Alta",1,))))))</f>
        <v/>
      </c>
      <c r="J25" s="125"/>
      <c r="K25" s="126">
        <f ca="1">IF(NOT(ISERROR(MATCH(J25,'Tabla Impacto'!$B$221:$B$223,0))),'Tabla Impacto'!$F$223&amp;"Por favor no seleccionar los criterios de impacto(Afectación Económica o presupuestal y Pérdida Reputacional)",J25)</f>
        <v>0</v>
      </c>
      <c r="L25" s="127" t="str">
        <f ca="1">IF(OR(K25='Tabla Impacto'!$C$11,K25='Tabla Impacto'!$D$11),"Leve",IF(OR(K25='Tabla Impacto'!$C$12,K25='Tabla Impacto'!$D$12),"Menor",IF(OR(K25='Tabla Impacto'!$C$13,K25='Tabla Impacto'!$D$13),"Moderado",IF(OR(K25='Tabla Impacto'!$C$14,K25='Tabla Impacto'!$D$14),"Mayor",IF(OR(K25='Tabla Impacto'!$C$15,K25='Tabla Impacto'!$D$15),"Catastrófico","")))))</f>
        <v/>
      </c>
      <c r="M25" s="126" t="str">
        <f ca="1">IF(L25="","",IF(L25="Leve",0.2,IF(L25="Menor",0.4,IF(L25="Moderado",0.6,IF(L25="Mayor",0.8,IF(L25="Catastrófico",1,))))))</f>
        <v/>
      </c>
      <c r="N25" s="128"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c r="P25" s="130"/>
      <c r="Q25" s="110" t="str">
        <f t="shared" si="0"/>
        <v/>
      </c>
      <c r="R25" s="108"/>
      <c r="S25" s="108"/>
      <c r="T25" s="111"/>
      <c r="U25" s="108"/>
      <c r="V25" s="108"/>
      <c r="W25" s="108"/>
      <c r="X25" s="112" t="str">
        <f t="shared" si="7"/>
        <v/>
      </c>
      <c r="Y25" s="113" t="str">
        <f t="shared" si="2"/>
        <v/>
      </c>
      <c r="Z25" s="111" t="str">
        <f t="shared" si="3"/>
        <v/>
      </c>
      <c r="AA25" s="113" t="str">
        <f t="shared" si="4"/>
        <v/>
      </c>
      <c r="AB25" s="111" t="str">
        <f t="shared" si="8"/>
        <v/>
      </c>
      <c r="AC25" s="114" t="str">
        <f t="shared" si="5"/>
        <v/>
      </c>
      <c r="AD25" s="121"/>
      <c r="AE25" s="108"/>
      <c r="AF25" s="107"/>
      <c r="AG25" s="107"/>
      <c r="AH25" s="109"/>
      <c r="AI25" s="109"/>
      <c r="AJ25" s="107"/>
      <c r="AK25" s="106"/>
    </row>
    <row r="26" spans="1:37" ht="150" customHeight="1" x14ac:dyDescent="0.3">
      <c r="A26" s="149">
        <v>3</v>
      </c>
      <c r="B26" s="337" t="s">
        <v>197</v>
      </c>
      <c r="C26" s="332" t="s">
        <v>247</v>
      </c>
      <c r="D26" s="332" t="s">
        <v>250</v>
      </c>
      <c r="E26" s="332" t="s">
        <v>253</v>
      </c>
      <c r="F26" s="332" t="s">
        <v>203</v>
      </c>
      <c r="G26" s="333">
        <v>12</v>
      </c>
      <c r="H26" s="139" t="str">
        <f>IF(G26&lt;=0,"",IF(G26&lt;=2,"Muy Baja",IF(G26&lt;=24,"Baja",IF(G26&lt;=500,"Media",IF(G26&lt;=5000,"Alta","Muy Alta")))))</f>
        <v>Baja</v>
      </c>
      <c r="I26" s="141">
        <f>IF(H26="","",IF(H26="Muy Baja",0.2,IF(H26="Baja",0.4,IF(H26="Media",0.6,IF(H26="Alta",0.8,IF(H26="Muy Alta",1,))))))</f>
        <v>0.4</v>
      </c>
      <c r="J26" s="143" t="s">
        <v>151</v>
      </c>
      <c r="K26" s="141" t="str">
        <f>IF(NOT(ISERROR(MATCH(J26,'[1]Tabla Impacto'!$B$221:$B$223,0))),'[1]Tabla Impacto'!$F$223&amp;"Por favor no seleccionar los criterios de impacto(Afectación Económica o presupuestal y Pérdida Reputacional)",J26)</f>
        <v xml:space="preserve">     El riesgo afecta la imagen de la entidad con algunos usuarios de relevancia frente al logro de los objetivos</v>
      </c>
      <c r="L26" s="139" t="str">
        <f>IF(OR(K26='[1]Tabla Impacto'!$C$11,K26='[1]Tabla Impacto'!$D$11),"Leve",IF(OR(K26='[1]Tabla Impacto'!$C$12,K26='[1]Tabla Impacto'!$D$12),"Menor",IF(OR(K26='[1]Tabla Impacto'!$C$13,K26='[1]Tabla Impacto'!$D$13),"Moderado",IF(OR(K26='[1]Tabla Impacto'!$C$14,K26='[1]Tabla Impacto'!$D$14),"Mayor",IF(OR(K26='[1]Tabla Impacto'!$C$15,K26='[1]Tabla Impacto'!$D$15),"Catastrófico","")))))</f>
        <v>Moderado</v>
      </c>
      <c r="M26" s="141">
        <f>IF(L26="","",IF(L26="Leve",0.2,IF(L26="Menor",0.4,IF(L26="Moderado",0.6,IF(L26="Mayor",0.8,IF(L26="Catastrófico",1,))))))</f>
        <v>0.6</v>
      </c>
      <c r="N26" s="142"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106">
        <v>1</v>
      </c>
      <c r="P26" s="130" t="s">
        <v>257</v>
      </c>
      <c r="Q26" s="110" t="str">
        <f t="shared" si="0"/>
        <v>Probabilidad</v>
      </c>
      <c r="R26" s="108" t="s">
        <v>167</v>
      </c>
      <c r="S26" s="108" t="s">
        <v>175</v>
      </c>
      <c r="T26" s="111" t="str">
        <f t="shared" ref="T26:T28" si="10">IF(AND(R26="Preventivo",S26="Automático"),"50%",IF(AND(R26="Preventivo",S26="Manual"),"40%",IF(AND(R26="Detectivo",S26="Automático"),"40%",IF(AND(R26="Detectivo",S26="Manual"),"30%",IF(AND(R26="Correctivo",S26="Automático"),"35%",IF(AND(R26="Correctivo",S26="Manual"),"25%",""))))))</f>
        <v>40%</v>
      </c>
      <c r="U26" s="131" t="s">
        <v>178</v>
      </c>
      <c r="V26" s="131" t="s">
        <v>183</v>
      </c>
      <c r="W26" s="131" t="s">
        <v>187</v>
      </c>
      <c r="X26" s="112">
        <f>IFERROR(IF(Q26="Probabilidad",(I26-(+I26*T26)),IF(Q26="Impacto",I26,"")),"")</f>
        <v>0.24</v>
      </c>
      <c r="Y26" s="113" t="str">
        <f t="shared" si="2"/>
        <v>Baja</v>
      </c>
      <c r="Z26" s="111">
        <f t="shared" si="3"/>
        <v>0.24</v>
      </c>
      <c r="AA26" s="113" t="str">
        <f t="shared" si="4"/>
        <v>Moderado</v>
      </c>
      <c r="AB26" s="111">
        <f>IFERROR(IF(Q26="Impacto",(M26-(+M26*T26)),IF(Q26="Probabilidad",M26,"")),"")</f>
        <v>0.6</v>
      </c>
      <c r="AC26" s="114" t="str">
        <f t="shared" si="5"/>
        <v>Moderado</v>
      </c>
      <c r="AD26" s="133" t="str">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Moderado</v>
      </c>
      <c r="AE26" s="156" t="s">
        <v>198</v>
      </c>
      <c r="AF26" s="107"/>
      <c r="AG26" s="107"/>
      <c r="AH26" s="109"/>
      <c r="AI26" s="109"/>
      <c r="AJ26" s="107"/>
      <c r="AK26" s="106"/>
    </row>
    <row r="27" spans="1:37" ht="13.5" hidden="1" x14ac:dyDescent="0.3">
      <c r="A27" s="144"/>
      <c r="B27" s="338"/>
      <c r="C27" s="332"/>
      <c r="D27" s="332"/>
      <c r="E27" s="334"/>
      <c r="F27" s="334"/>
      <c r="G27" s="334"/>
      <c r="H27" s="140"/>
      <c r="I27" s="140"/>
      <c r="J27" s="144"/>
      <c r="K27" s="140"/>
      <c r="L27" s="140"/>
      <c r="M27" s="140"/>
      <c r="N27" s="140"/>
      <c r="O27" s="106">
        <v>2</v>
      </c>
      <c r="P27" s="130"/>
      <c r="Q27" s="110" t="str">
        <f t="shared" si="0"/>
        <v/>
      </c>
      <c r="R27" s="108"/>
      <c r="S27" s="108"/>
      <c r="T27" s="111" t="str">
        <f t="shared" si="10"/>
        <v/>
      </c>
      <c r="U27" s="131"/>
      <c r="V27" s="131"/>
      <c r="W27" s="131"/>
      <c r="X27" s="112" t="str">
        <f>IFERROR(IF(AND(Q26="Probabilidad",Q27="Probabilidad"),(Z26-(+Z26*T27)),IF(Q27="Probabilidad",(I26-(+I26*T27)),IF(Q27="Impacto",Z26,""))),"")</f>
        <v/>
      </c>
      <c r="Y27" s="113" t="str">
        <f t="shared" si="2"/>
        <v/>
      </c>
      <c r="Z27" s="111" t="str">
        <f t="shared" si="3"/>
        <v/>
      </c>
      <c r="AA27" s="113" t="str">
        <f t="shared" si="4"/>
        <v/>
      </c>
      <c r="AB27" s="111" t="str">
        <f>IFERROR(IF(AND(Q26="Impacto",Q27="Impacto"),(AB26-(+AB26*T27)),IF(Q27="Impacto",($M$16-(+$M$16*T27)),IF(Q27="Probabilidad",AB26,""))),"")</f>
        <v/>
      </c>
      <c r="AC27" s="114" t="str">
        <f t="shared" si="5"/>
        <v/>
      </c>
      <c r="AD27" s="134"/>
      <c r="AE27" s="157"/>
      <c r="AF27" s="107"/>
      <c r="AG27" s="107"/>
      <c r="AH27" s="109"/>
      <c r="AI27" s="109"/>
      <c r="AJ27" s="107"/>
      <c r="AK27" s="106"/>
    </row>
    <row r="28" spans="1:37" ht="133.5" hidden="1" customHeight="1" x14ac:dyDescent="0.3">
      <c r="A28" s="144"/>
      <c r="B28" s="339"/>
      <c r="C28" s="332"/>
      <c r="D28" s="332"/>
      <c r="E28" s="334"/>
      <c r="F28" s="334"/>
      <c r="G28" s="334"/>
      <c r="H28" s="140"/>
      <c r="I28" s="140"/>
      <c r="J28" s="144"/>
      <c r="K28" s="140"/>
      <c r="L28" s="140"/>
      <c r="M28" s="140"/>
      <c r="N28" s="140"/>
      <c r="O28" s="106">
        <v>3</v>
      </c>
      <c r="P28" s="130"/>
      <c r="Q28" s="110" t="str">
        <f t="shared" si="0"/>
        <v/>
      </c>
      <c r="R28" s="108"/>
      <c r="S28" s="108"/>
      <c r="T28" s="111" t="str">
        <f t="shared" si="10"/>
        <v/>
      </c>
      <c r="U28" s="131"/>
      <c r="V28" s="131"/>
      <c r="W28" s="131"/>
      <c r="X28" s="112" t="str">
        <f>IFERROR(IF(AND(Q27="Probabilidad",Q28="Probabilidad"),(Z27-(+Z27*T28)),IF(AND(Q27="Impacto",Q28="Probabilidad"),(Z26-(+Z26*T28)),IF(Q28="Impacto",Z27,""))),"")</f>
        <v/>
      </c>
      <c r="Y28" s="113" t="str">
        <f t="shared" si="2"/>
        <v/>
      </c>
      <c r="Z28" s="111" t="str">
        <f t="shared" si="3"/>
        <v/>
      </c>
      <c r="AA28" s="113" t="str">
        <f t="shared" si="4"/>
        <v/>
      </c>
      <c r="AB28" s="111" t="str">
        <f>IFERROR(IF(AND(Q27="Impacto",Q28="Impacto"),(AB27-(+AB27*T28)),IF(AND(Q27="Probabilidad",Q28="Impacto"),(AB26-(+AB26*T28)),IF(Q28="Probabilidad",AB27,""))),"")</f>
        <v/>
      </c>
      <c r="AC28" s="114" t="str">
        <f t="shared" si="5"/>
        <v/>
      </c>
      <c r="AD28" s="135"/>
      <c r="AE28" s="158"/>
      <c r="AF28" s="107"/>
      <c r="AG28" s="107"/>
      <c r="AH28" s="109"/>
      <c r="AI28" s="109"/>
      <c r="AJ28" s="107"/>
      <c r="AK28" s="106"/>
    </row>
    <row r="29" spans="1:37" ht="16.5" hidden="1" customHeight="1" x14ac:dyDescent="0.3">
      <c r="A29" s="115"/>
      <c r="B29" s="124"/>
      <c r="C29" s="124"/>
      <c r="D29" s="124"/>
      <c r="E29" s="124"/>
      <c r="F29" s="124"/>
      <c r="G29" s="129"/>
      <c r="H29" s="127" t="str">
        <f>IF(G29&lt;=0,"",IF(G29&lt;=2,"Muy Baja",IF(G29&lt;=24,"Baja",IF(G29&lt;=500,"Media",IF(G29&lt;=5000,"Alta","Muy Alta")))))</f>
        <v/>
      </c>
      <c r="I29" s="126" t="str">
        <f>IF(H29="","",IF(H29="Muy Baja",0.2,IF(H29="Baja",0.4,IF(H29="Media",0.6,IF(H29="Alta",0.8,IF(H29="Muy Alta",1,))))))</f>
        <v/>
      </c>
      <c r="J29" s="144"/>
      <c r="K29" s="126">
        <f ca="1">IF(NOT(ISERROR(MATCH(J29,'Tabla Impacto'!$B$221:$B$223,0))),'Tabla Impacto'!$F$223&amp;"Por favor no seleccionar los criterios de impacto(Afectación Económica o presupuestal y Pérdida Reputacional)",J29)</f>
        <v>0</v>
      </c>
      <c r="L29" s="127" t="str">
        <f ca="1">IF(OR(K29='Tabla Impacto'!$C$11,K29='Tabla Impacto'!$D$11),"Leve",IF(OR(K29='Tabla Impacto'!$C$12,K29='Tabla Impacto'!$D$12),"Menor",IF(OR(K29='Tabla Impacto'!$C$13,K29='Tabla Impacto'!$D$13),"Moderado",IF(OR(K29='Tabla Impacto'!$C$14,K29='Tabla Impacto'!$D$14),"Mayor",IF(OR(K29='Tabla Impacto'!$C$15,K29='Tabla Impacto'!$D$15),"Catastrófico","")))))</f>
        <v/>
      </c>
      <c r="M29" s="126" t="str">
        <f ca="1">IF(L29="","",IF(L29="Leve",0.2,IF(L29="Menor",0.4,IF(L29="Moderado",0.6,IF(L29="Mayor",0.8,IF(L29="Catastrófico",1,))))))</f>
        <v/>
      </c>
      <c r="N29" s="128"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06"/>
      <c r="P29" s="130"/>
      <c r="Q29" s="110" t="str">
        <f t="shared" si="0"/>
        <v/>
      </c>
      <c r="R29" s="108"/>
      <c r="S29" s="108"/>
      <c r="T29" s="111" t="str">
        <f t="shared" si="1"/>
        <v/>
      </c>
      <c r="U29" s="108"/>
      <c r="V29" s="108"/>
      <c r="W29" s="108"/>
      <c r="X29" s="112" t="str">
        <f t="shared" si="7"/>
        <v/>
      </c>
      <c r="Y29" s="113" t="str">
        <f t="shared" si="2"/>
        <v/>
      </c>
      <c r="Z29" s="111" t="str">
        <f t="shared" si="3"/>
        <v/>
      </c>
      <c r="AA29" s="113" t="str">
        <f t="shared" si="4"/>
        <v/>
      </c>
      <c r="AB29" s="111" t="str">
        <f t="shared" si="8"/>
        <v/>
      </c>
      <c r="AC29" s="114" t="str">
        <f t="shared" si="5"/>
        <v/>
      </c>
      <c r="AD29" s="123"/>
      <c r="AE29" s="108"/>
      <c r="AF29" s="107"/>
      <c r="AG29" s="107"/>
      <c r="AH29" s="109"/>
      <c r="AI29" s="109"/>
      <c r="AJ29" s="107"/>
      <c r="AK29" s="106"/>
    </row>
    <row r="30" spans="1:37" ht="29" hidden="1" customHeight="1" x14ac:dyDescent="0.3">
      <c r="A30" s="115"/>
      <c r="B30" s="124"/>
      <c r="C30" s="124"/>
      <c r="D30" s="124"/>
      <c r="E30" s="124"/>
      <c r="F30" s="124"/>
      <c r="G30" s="129"/>
      <c r="H30" s="127" t="str">
        <f>IF(G30&lt;=0,"",IF(G30&lt;=2,"Muy Baja",IF(G30&lt;=24,"Baja",IF(G30&lt;=500,"Media",IF(G30&lt;=5000,"Alta","Muy Alta")))))</f>
        <v/>
      </c>
      <c r="I30" s="126" t="str">
        <f>IF(H30="","",IF(H30="Muy Baja",0.2,IF(H30="Baja",0.4,IF(H30="Media",0.6,IF(H30="Alta",0.8,IF(H30="Muy Alta",1,))))))</f>
        <v/>
      </c>
      <c r="J30" s="125"/>
      <c r="K30" s="126">
        <f ca="1">IF(NOT(ISERROR(MATCH(J30,'Tabla Impacto'!$B$221:$B$223,0))),'Tabla Impacto'!$F$223&amp;"Por favor no seleccionar los criterios de impacto(Afectación Económica o presupuestal y Pérdida Reputacional)",J30)</f>
        <v>0</v>
      </c>
      <c r="L30" s="127" t="str">
        <f ca="1">IF(OR(K30='Tabla Impacto'!$C$11,K30='Tabla Impacto'!$D$11),"Leve",IF(OR(K30='Tabla Impacto'!$C$12,K30='Tabla Impacto'!$D$12),"Menor",IF(OR(K30='Tabla Impacto'!$C$13,K30='Tabla Impacto'!$D$13),"Moderado",IF(OR(K30='Tabla Impacto'!$C$14,K30='Tabla Impacto'!$D$14),"Mayor",IF(OR(K30='Tabla Impacto'!$C$15,K30='Tabla Impacto'!$D$15),"Catastrófico","")))))</f>
        <v/>
      </c>
      <c r="M30" s="126" t="str">
        <f ca="1">IF(L30="","",IF(L30="Leve",0.2,IF(L30="Menor",0.4,IF(L30="Moderado",0.6,IF(L30="Mayor",0.8,IF(L30="Catastrófico",1,))))))</f>
        <v/>
      </c>
      <c r="N30" s="12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c r="P30" s="130"/>
      <c r="Q30" s="110" t="str">
        <f t="shared" si="0"/>
        <v/>
      </c>
      <c r="R30" s="108"/>
      <c r="S30" s="108"/>
      <c r="T30" s="111" t="str">
        <f t="shared" si="1"/>
        <v/>
      </c>
      <c r="U30" s="108"/>
      <c r="V30" s="108"/>
      <c r="W30" s="108"/>
      <c r="X30" s="112" t="str">
        <f t="shared" si="7"/>
        <v/>
      </c>
      <c r="Y30" s="113" t="str">
        <f t="shared" si="2"/>
        <v/>
      </c>
      <c r="Z30" s="111" t="str">
        <f t="shared" si="3"/>
        <v/>
      </c>
      <c r="AA30" s="113" t="str">
        <f t="shared" si="4"/>
        <v/>
      </c>
      <c r="AB30" s="111" t="str">
        <f t="shared" si="8"/>
        <v/>
      </c>
      <c r="AC30" s="114" t="str">
        <f t="shared" si="5"/>
        <v/>
      </c>
      <c r="AD30" s="123"/>
      <c r="AE30" s="108"/>
      <c r="AF30" s="107"/>
      <c r="AG30" s="107"/>
      <c r="AH30" s="109"/>
      <c r="AI30" s="109"/>
      <c r="AJ30" s="107"/>
      <c r="AK30" s="106"/>
    </row>
    <row r="31" spans="1:37" ht="13.5" hidden="1" x14ac:dyDescent="0.3">
      <c r="A31" s="149">
        <v>4</v>
      </c>
      <c r="B31" s="150"/>
      <c r="C31" s="148"/>
      <c r="D31" s="148"/>
      <c r="E31" s="148"/>
      <c r="F31" s="148"/>
      <c r="G31" s="149"/>
      <c r="H31" s="139" t="str">
        <f>IF(G31&lt;=0,"",IF(G31&lt;=2,"Muy Baja",IF(G31&lt;=24,"Baja",IF(G31&lt;=500,"Media",IF(G31&lt;=5000,"Alta","Muy Alta")))))</f>
        <v/>
      </c>
      <c r="I31" s="141" t="str">
        <f>IF(H31="","",IF(H31="Muy Baja",0.2,IF(H31="Baja",0.4,IF(H31="Media",0.6,IF(H31="Alta",0.8,IF(H31="Muy Alta",1,))))))</f>
        <v/>
      </c>
      <c r="J31" s="143"/>
      <c r="K31" s="141">
        <f>IF(NOT(ISERROR(MATCH(J31,'[1]Tabla Impacto'!$B$221:$B$223,0))),'[1]Tabla Impacto'!$F$223&amp;"Por favor no seleccionar los criterios de impacto(Afectación Económica o presupuestal y Pérdida Reputacional)",J31)</f>
        <v>0</v>
      </c>
      <c r="L31" s="139" t="str">
        <f>IF(OR(K31='[1]Tabla Impacto'!$C$11,K31='[1]Tabla Impacto'!$D$11),"Leve",IF(OR(K31='[1]Tabla Impacto'!$C$12,K31='[1]Tabla Impacto'!$D$12),"Menor",IF(OR(K31='[1]Tabla Impacto'!$C$13,K31='[1]Tabla Impacto'!$D$13),"Moderado",IF(OR(K31='[1]Tabla Impacto'!$C$14,K31='[1]Tabla Impacto'!$D$14),"Mayor",IF(OR(K31='[1]Tabla Impacto'!$C$15,K31='[1]Tabla Impacto'!$D$15),"Catastrófico","")))))</f>
        <v/>
      </c>
      <c r="M31" s="141" t="str">
        <f>IF(L31="","",IF(L31="Leve",0.2,IF(L31="Menor",0.4,IF(L31="Moderado",0.6,IF(L31="Mayor",0.8,IF(L31="Catastrófico",1,))))))</f>
        <v/>
      </c>
      <c r="N31" s="142"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6">
        <v>1</v>
      </c>
      <c r="P31" s="130"/>
      <c r="Q31" s="110" t="str">
        <f t="shared" si="0"/>
        <v/>
      </c>
      <c r="R31" s="108"/>
      <c r="S31" s="108"/>
      <c r="T31" s="111" t="str">
        <f t="shared" ref="T31:T33" si="11">IF(AND(R31="Preventivo",S31="Automático"),"50%",IF(AND(R31="Preventivo",S31="Manual"),"40%",IF(AND(R31="Detectivo",S31="Automático"),"40%",IF(AND(R31="Detectivo",S31="Manual"),"30%",IF(AND(R31="Correctivo",S31="Automático"),"35%",IF(AND(R31="Correctivo",S31="Manual"),"25%",""))))))</f>
        <v/>
      </c>
      <c r="U31" s="131"/>
      <c r="V31" s="131"/>
      <c r="W31" s="131"/>
      <c r="X31" s="112" t="str">
        <f>IFERROR(IF(Q31="Probabilidad",(I31-(+I31*T31)),IF(Q31="Impacto",I31,"")),"")</f>
        <v/>
      </c>
      <c r="Y31" s="113" t="str">
        <f t="shared" si="2"/>
        <v/>
      </c>
      <c r="Z31" s="111" t="str">
        <f t="shared" si="3"/>
        <v/>
      </c>
      <c r="AA31" s="113" t="str">
        <f t="shared" si="4"/>
        <v/>
      </c>
      <c r="AB31" s="111" t="str">
        <f>IFERROR(IF(Q31="Impacto",(M31-(+M31*T31)),IF(Q31="Probabilidad",M31,"")),"")</f>
        <v/>
      </c>
      <c r="AC31" s="114" t="str">
        <f t="shared" si="5"/>
        <v/>
      </c>
      <c r="AD31" s="133"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156"/>
      <c r="AF31" s="107"/>
      <c r="AG31" s="107"/>
      <c r="AH31" s="109"/>
      <c r="AI31" s="109"/>
      <c r="AJ31" s="107"/>
      <c r="AK31" s="106"/>
    </row>
    <row r="32" spans="1:37" ht="13.5" hidden="1" x14ac:dyDescent="0.3">
      <c r="A32" s="144"/>
      <c r="B32" s="151"/>
      <c r="C32" s="148"/>
      <c r="D32" s="148"/>
      <c r="E32" s="144"/>
      <c r="F32" s="144"/>
      <c r="G32" s="144"/>
      <c r="H32" s="140"/>
      <c r="I32" s="140"/>
      <c r="J32" s="144"/>
      <c r="K32" s="140"/>
      <c r="L32" s="140"/>
      <c r="M32" s="140"/>
      <c r="N32" s="140"/>
      <c r="O32" s="106">
        <v>2</v>
      </c>
      <c r="P32" s="130"/>
      <c r="Q32" s="110" t="str">
        <f t="shared" si="0"/>
        <v/>
      </c>
      <c r="R32" s="108"/>
      <c r="S32" s="108"/>
      <c r="T32" s="111" t="str">
        <f t="shared" si="11"/>
        <v/>
      </c>
      <c r="U32" s="131"/>
      <c r="V32" s="131"/>
      <c r="W32" s="131"/>
      <c r="X32" s="112" t="str">
        <f>IFERROR(IF(AND(Q31="Probabilidad",Q32="Probabilidad"),(Z31-(+Z31*T32)),IF(Q32="Probabilidad",(I31-(+I31*T32)),IF(Q32="Impacto",Z31,""))),"")</f>
        <v/>
      </c>
      <c r="Y32" s="113" t="str">
        <f t="shared" si="2"/>
        <v/>
      </c>
      <c r="Z32" s="111" t="str">
        <f t="shared" si="3"/>
        <v/>
      </c>
      <c r="AA32" s="113" t="str">
        <f t="shared" si="4"/>
        <v/>
      </c>
      <c r="AB32" s="111" t="str">
        <f>IFERROR(IF(AND(Q31="Impacto",Q32="Impacto"),(AB31-(+AB31*T32)),IF(Q32="Impacto",($M$16-(+$M$16*T32)),IF(Q32="Probabilidad",AB31,""))),"")</f>
        <v/>
      </c>
      <c r="AC32" s="114" t="str">
        <f t="shared" si="5"/>
        <v/>
      </c>
      <c r="AD32" s="134"/>
      <c r="AE32" s="157"/>
      <c r="AF32" s="107"/>
      <c r="AG32" s="107"/>
      <c r="AH32" s="109"/>
      <c r="AI32" s="109"/>
      <c r="AJ32" s="107"/>
      <c r="AK32" s="106"/>
    </row>
    <row r="33" spans="1:37" ht="16.5" hidden="1" customHeight="1" x14ac:dyDescent="0.3">
      <c r="A33" s="144"/>
      <c r="B33" s="152"/>
      <c r="C33" s="148"/>
      <c r="D33" s="148"/>
      <c r="E33" s="144"/>
      <c r="F33" s="144"/>
      <c r="G33" s="144"/>
      <c r="H33" s="140"/>
      <c r="I33" s="140"/>
      <c r="J33" s="144"/>
      <c r="K33" s="140"/>
      <c r="L33" s="140"/>
      <c r="M33" s="140"/>
      <c r="N33" s="140"/>
      <c r="O33" s="106">
        <v>3</v>
      </c>
      <c r="P33" s="130"/>
      <c r="Q33" s="110" t="str">
        <f t="shared" si="0"/>
        <v/>
      </c>
      <c r="R33" s="108"/>
      <c r="S33" s="108"/>
      <c r="T33" s="111" t="str">
        <f t="shared" si="11"/>
        <v/>
      </c>
      <c r="U33" s="131"/>
      <c r="V33" s="131"/>
      <c r="W33" s="131"/>
      <c r="X33" s="112" t="str">
        <f>IFERROR(IF(AND(Q32="Probabilidad",Q33="Probabilidad"),(Z32-(+Z32*T33)),IF(AND(Q32="Impacto",Q33="Probabilidad"),(Z31-(+Z31*T33)),IF(Q33="Impacto",Z32,""))),"")</f>
        <v/>
      </c>
      <c r="Y33" s="113" t="str">
        <f t="shared" si="2"/>
        <v/>
      </c>
      <c r="Z33" s="111" t="str">
        <f t="shared" si="3"/>
        <v/>
      </c>
      <c r="AA33" s="113" t="str">
        <f t="shared" si="4"/>
        <v/>
      </c>
      <c r="AB33" s="111" t="str">
        <f>IFERROR(IF(AND(Q32="Impacto",Q33="Impacto"),(AB32-(+AB32*T33)),IF(AND(Q32="Probabilidad",Q33="Impacto"),(AB31-(+AB31*T33)),IF(Q33="Probabilidad",AB32,""))),"")</f>
        <v/>
      </c>
      <c r="AC33" s="114" t="str">
        <f t="shared" si="5"/>
        <v/>
      </c>
      <c r="AD33" s="135"/>
      <c r="AE33" s="158"/>
      <c r="AF33" s="107"/>
      <c r="AG33" s="107"/>
      <c r="AH33" s="109"/>
      <c r="AI33" s="109"/>
      <c r="AJ33" s="107"/>
      <c r="AK33" s="106"/>
    </row>
    <row r="34" spans="1:37" ht="16.5" hidden="1" customHeight="1" x14ac:dyDescent="0.3">
      <c r="A34" s="115"/>
      <c r="B34" s="124"/>
      <c r="C34" s="124"/>
      <c r="D34" s="124"/>
      <c r="E34" s="124"/>
      <c r="F34" s="124"/>
      <c r="G34" s="129"/>
      <c r="H34" s="127" t="str">
        <f>IF(G34&lt;=0,"",IF(G34&lt;=2,"Muy Baja",IF(G34&lt;=24,"Baja",IF(G34&lt;=500,"Media",IF(G34&lt;=5000,"Alta","Muy Alta")))))</f>
        <v/>
      </c>
      <c r="I34" s="126" t="str">
        <f>IF(H34="","",IF(H34="Muy Baja",0.2,IF(H34="Baja",0.4,IF(H34="Media",0.6,IF(H34="Alta",0.8,IF(H34="Muy Alta",1,))))))</f>
        <v/>
      </c>
      <c r="J34" s="125"/>
      <c r="K34" s="126">
        <f ca="1">IF(NOT(ISERROR(MATCH(J34,'Tabla Impacto'!$B$221:$B$223,0))),'Tabla Impacto'!$F$223&amp;"Por favor no seleccionar los criterios de impacto(Afectación Económica o presupuestal y Pérdida Reputacional)",J34)</f>
        <v>0</v>
      </c>
      <c r="L34" s="127" t="str">
        <f ca="1">IF(OR(K34='Tabla Impacto'!$C$11,K34='Tabla Impacto'!$D$11),"Leve",IF(OR(K34='Tabla Impacto'!$C$12,K34='Tabla Impacto'!$D$12),"Menor",IF(OR(K34='Tabla Impacto'!$C$13,K34='Tabla Impacto'!$D$13),"Moderado",IF(OR(K34='Tabla Impacto'!$C$14,K34='Tabla Impacto'!$D$14),"Mayor",IF(OR(K34='Tabla Impacto'!$C$15,K34='Tabla Impacto'!$D$15),"Catastrófico","")))))</f>
        <v/>
      </c>
      <c r="M34" s="126" t="str">
        <f ca="1">IF(L34="","",IF(L34="Leve",0.2,IF(L34="Menor",0.4,IF(L34="Moderado",0.6,IF(L34="Mayor",0.8,IF(L34="Catastrófico",1,))))))</f>
        <v/>
      </c>
      <c r="N34" s="12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06"/>
      <c r="P34" s="130"/>
      <c r="Q34" s="110" t="str">
        <f t="shared" si="0"/>
        <v/>
      </c>
      <c r="R34" s="108"/>
      <c r="S34" s="108"/>
      <c r="T34" s="111" t="str">
        <f t="shared" si="1"/>
        <v/>
      </c>
      <c r="U34" s="108"/>
      <c r="V34" s="108"/>
      <c r="W34" s="108"/>
      <c r="X34" s="112" t="str">
        <f t="shared" si="7"/>
        <v/>
      </c>
      <c r="Y34" s="113" t="str">
        <f t="shared" si="2"/>
        <v/>
      </c>
      <c r="Z34" s="111" t="str">
        <f t="shared" si="3"/>
        <v/>
      </c>
      <c r="AA34" s="113" t="str">
        <f t="shared" si="4"/>
        <v/>
      </c>
      <c r="AB34" s="111" t="str">
        <f t="shared" si="8"/>
        <v/>
      </c>
      <c r="AC34" s="114" t="str">
        <f t="shared" si="5"/>
        <v/>
      </c>
      <c r="AD34" s="123"/>
      <c r="AE34" s="108"/>
      <c r="AF34" s="107"/>
      <c r="AG34" s="107"/>
      <c r="AH34" s="109"/>
      <c r="AI34" s="109"/>
      <c r="AJ34" s="107"/>
      <c r="AK34" s="106"/>
    </row>
    <row r="35" spans="1:37" ht="16.5" hidden="1" customHeight="1" x14ac:dyDescent="0.3">
      <c r="A35" s="115"/>
      <c r="B35" s="124"/>
      <c r="C35" s="124"/>
      <c r="D35" s="124"/>
      <c r="E35" s="124"/>
      <c r="F35" s="124"/>
      <c r="G35" s="129"/>
      <c r="H35" s="127" t="str">
        <f>IF(G35&lt;=0,"",IF(G35&lt;=2,"Muy Baja",IF(G35&lt;=24,"Baja",IF(G35&lt;=500,"Media",IF(G35&lt;=5000,"Alta","Muy Alta")))))</f>
        <v/>
      </c>
      <c r="I35" s="126" t="str">
        <f>IF(H35="","",IF(H35="Muy Baja",0.2,IF(H35="Baja",0.4,IF(H35="Media",0.6,IF(H35="Alta",0.8,IF(H35="Muy Alta",1,))))))</f>
        <v/>
      </c>
      <c r="J35" s="125"/>
      <c r="K35" s="126">
        <f ca="1">IF(NOT(ISERROR(MATCH(J35,'Tabla Impacto'!$B$221:$B$223,0))),'Tabla Impacto'!$F$223&amp;"Por favor no seleccionar los criterios de impacto(Afectación Económica o presupuestal y Pérdida Reputacional)",J35)</f>
        <v>0</v>
      </c>
      <c r="L35" s="127" t="str">
        <f ca="1">IF(OR(K35='Tabla Impacto'!$C$11,K35='Tabla Impacto'!$D$11),"Leve",IF(OR(K35='Tabla Impacto'!$C$12,K35='Tabla Impacto'!$D$12),"Menor",IF(OR(K35='Tabla Impacto'!$C$13,K35='Tabla Impacto'!$D$13),"Moderado",IF(OR(K35='Tabla Impacto'!$C$14,K35='Tabla Impacto'!$D$14),"Mayor",IF(OR(K35='Tabla Impacto'!$C$15,K35='Tabla Impacto'!$D$15),"Catastrófico","")))))</f>
        <v/>
      </c>
      <c r="M35" s="126" t="str">
        <f ca="1">IF(L35="","",IF(L35="Leve",0.2,IF(L35="Menor",0.4,IF(L35="Moderado",0.6,IF(L35="Mayor",0.8,IF(L35="Catastrófico",1,))))))</f>
        <v/>
      </c>
      <c r="N35" s="128"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06"/>
      <c r="P35" s="130"/>
      <c r="Q35" s="110" t="str">
        <f t="shared" si="0"/>
        <v/>
      </c>
      <c r="R35" s="108"/>
      <c r="S35" s="108"/>
      <c r="T35" s="111" t="str">
        <f t="shared" si="1"/>
        <v/>
      </c>
      <c r="U35" s="108"/>
      <c r="V35" s="108"/>
      <c r="W35" s="108"/>
      <c r="X35" s="112" t="str">
        <f t="shared" si="7"/>
        <v/>
      </c>
      <c r="Y35" s="113" t="str">
        <f t="shared" si="2"/>
        <v/>
      </c>
      <c r="Z35" s="111" t="str">
        <f t="shared" si="3"/>
        <v/>
      </c>
      <c r="AA35" s="113" t="str">
        <f t="shared" si="4"/>
        <v/>
      </c>
      <c r="AB35" s="111" t="str">
        <f t="shared" si="8"/>
        <v/>
      </c>
      <c r="AC35" s="114" t="str">
        <f t="shared" si="5"/>
        <v/>
      </c>
      <c r="AD35" s="121"/>
      <c r="AE35" s="108"/>
      <c r="AF35" s="107"/>
      <c r="AG35" s="107"/>
      <c r="AH35" s="109"/>
      <c r="AI35" s="109"/>
      <c r="AJ35" s="107"/>
      <c r="AK35" s="106"/>
    </row>
    <row r="36" spans="1:37" ht="13.5" hidden="1" x14ac:dyDescent="0.3">
      <c r="A36" s="149">
        <v>5</v>
      </c>
      <c r="B36" s="150"/>
      <c r="C36" s="148"/>
      <c r="D36" s="148"/>
      <c r="E36" s="148"/>
      <c r="F36" s="148"/>
      <c r="G36" s="149"/>
      <c r="H36" s="139" t="str">
        <f>IF(G36&lt;=0,"",IF(G36&lt;=2,"Muy Baja",IF(G36&lt;=24,"Baja",IF(G36&lt;=500,"Media",IF(G36&lt;=5000,"Alta","Muy Alta")))))</f>
        <v/>
      </c>
      <c r="I36" s="141" t="str">
        <f>IF(H36="","",IF(H36="Muy Baja",0.2,IF(H36="Baja",0.4,IF(H36="Media",0.6,IF(H36="Alta",0.8,IF(H36="Muy Alta",1,))))))</f>
        <v/>
      </c>
      <c r="J36" s="143"/>
      <c r="K36" s="141">
        <f>IF(NOT(ISERROR(MATCH(J36,'[1]Tabla Impacto'!$B$221:$B$223,0))),'[1]Tabla Impacto'!$F$223&amp;"Por favor no seleccionar los criterios de impacto(Afectación Económica o presupuestal y Pérdida Reputacional)",J36)</f>
        <v>0</v>
      </c>
      <c r="L36" s="139" t="str">
        <f>IF(OR(K36='[1]Tabla Impacto'!$C$11,K36='[1]Tabla Impacto'!$D$11),"Leve",IF(OR(K36='[1]Tabla Impacto'!$C$12,K36='[1]Tabla Impacto'!$D$12),"Menor",IF(OR(K36='[1]Tabla Impacto'!$C$13,K36='[1]Tabla Impacto'!$D$13),"Moderado",IF(OR(K36='[1]Tabla Impacto'!$C$14,K36='[1]Tabla Impacto'!$D$14),"Mayor",IF(OR(K36='[1]Tabla Impacto'!$C$15,K36='[1]Tabla Impacto'!$D$15),"Catastrófico","")))))</f>
        <v/>
      </c>
      <c r="M36" s="141" t="str">
        <f>IF(L36="","",IF(L36="Leve",0.2,IF(L36="Menor",0.4,IF(L36="Moderado",0.6,IF(L36="Mayor",0.8,IF(L36="Catastrófico",1,))))))</f>
        <v/>
      </c>
      <c r="N36" s="14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30"/>
      <c r="Q36" s="110" t="str">
        <f t="shared" si="0"/>
        <v/>
      </c>
      <c r="R36" s="108"/>
      <c r="S36" s="108"/>
      <c r="T36" s="111" t="str">
        <f t="shared" ref="T36:T38" si="12">IF(AND(R36="Preventivo",S36="Automático"),"50%",IF(AND(R36="Preventivo",S36="Manual"),"40%",IF(AND(R36="Detectivo",S36="Automático"),"40%",IF(AND(R36="Detectivo",S36="Manual"),"30%",IF(AND(R36="Correctivo",S36="Automático"),"35%",IF(AND(R36="Correctivo",S36="Manual"),"25%",""))))))</f>
        <v/>
      </c>
      <c r="U36" s="131"/>
      <c r="V36" s="131"/>
      <c r="W36" s="131"/>
      <c r="X36" s="112" t="str">
        <f>IFERROR(IF(Q36="Probabilidad",(I36-(+I36*T36)),IF(Q36="Impacto",I36,"")),"")</f>
        <v/>
      </c>
      <c r="Y36" s="113" t="str">
        <f t="shared" si="2"/>
        <v/>
      </c>
      <c r="Z36" s="111" t="str">
        <f t="shared" si="3"/>
        <v/>
      </c>
      <c r="AA36" s="113" t="str">
        <f t="shared" si="4"/>
        <v/>
      </c>
      <c r="AB36" s="111" t="str">
        <f>IFERROR(IF(Q36="Impacto",(M36-(+M36*T36)),IF(Q36="Probabilidad",M36,"")),"")</f>
        <v/>
      </c>
      <c r="AC36" s="114" t="str">
        <f t="shared" si="5"/>
        <v/>
      </c>
      <c r="AD36" s="133"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156"/>
      <c r="AF36" s="107"/>
      <c r="AG36" s="107"/>
      <c r="AH36" s="109"/>
      <c r="AI36" s="109"/>
      <c r="AJ36" s="107"/>
      <c r="AK36" s="106"/>
    </row>
    <row r="37" spans="1:37" ht="13.5" hidden="1" x14ac:dyDescent="0.3">
      <c r="A37" s="144"/>
      <c r="B37" s="151"/>
      <c r="C37" s="148"/>
      <c r="D37" s="148"/>
      <c r="E37" s="144"/>
      <c r="F37" s="144"/>
      <c r="G37" s="144"/>
      <c r="H37" s="140"/>
      <c r="I37" s="140"/>
      <c r="J37" s="144"/>
      <c r="K37" s="140"/>
      <c r="L37" s="140"/>
      <c r="M37" s="140"/>
      <c r="N37" s="140"/>
      <c r="O37" s="106">
        <v>2</v>
      </c>
      <c r="P37" s="130"/>
      <c r="Q37" s="110" t="str">
        <f t="shared" si="0"/>
        <v/>
      </c>
      <c r="R37" s="108"/>
      <c r="S37" s="108"/>
      <c r="T37" s="111" t="str">
        <f t="shared" si="12"/>
        <v/>
      </c>
      <c r="U37" s="131"/>
      <c r="V37" s="131"/>
      <c r="W37" s="131"/>
      <c r="X37" s="112" t="str">
        <f>IFERROR(IF(AND(Q36="Probabilidad",Q37="Probabilidad"),(Z36-(+Z36*T37)),IF(Q37="Probabilidad",(I36-(+I36*T37)),IF(Q37="Impacto",Z36,""))),"")</f>
        <v/>
      </c>
      <c r="Y37" s="113" t="str">
        <f t="shared" si="2"/>
        <v/>
      </c>
      <c r="Z37" s="111" t="str">
        <f t="shared" si="3"/>
        <v/>
      </c>
      <c r="AA37" s="113" t="str">
        <f t="shared" si="4"/>
        <v/>
      </c>
      <c r="AB37" s="111" t="str">
        <f>IFERROR(IF(AND(Q36="Impacto",Q37="Impacto"),(AB36-(+AB36*T37)),IF(Q37="Impacto",($M$16-(+$M$16*T37)),IF(Q37="Probabilidad",AB36,""))),"")</f>
        <v/>
      </c>
      <c r="AC37" s="114" t="str">
        <f t="shared" si="5"/>
        <v/>
      </c>
      <c r="AD37" s="134"/>
      <c r="AE37" s="157"/>
      <c r="AF37" s="107"/>
      <c r="AG37" s="107"/>
      <c r="AH37" s="109"/>
      <c r="AI37" s="109"/>
      <c r="AJ37" s="107"/>
      <c r="AK37" s="106"/>
    </row>
    <row r="38" spans="1:37" ht="13.5" hidden="1" x14ac:dyDescent="0.3">
      <c r="A38" s="144"/>
      <c r="B38" s="152"/>
      <c r="C38" s="148"/>
      <c r="D38" s="148"/>
      <c r="E38" s="144"/>
      <c r="F38" s="144"/>
      <c r="G38" s="144"/>
      <c r="H38" s="140"/>
      <c r="I38" s="140"/>
      <c r="J38" s="144"/>
      <c r="K38" s="140"/>
      <c r="L38" s="140"/>
      <c r="M38" s="140"/>
      <c r="N38" s="140"/>
      <c r="O38" s="106">
        <v>3</v>
      </c>
      <c r="P38" s="130"/>
      <c r="Q38" s="110" t="str">
        <f t="shared" si="0"/>
        <v/>
      </c>
      <c r="R38" s="108"/>
      <c r="S38" s="108"/>
      <c r="T38" s="111" t="str">
        <f t="shared" si="12"/>
        <v/>
      </c>
      <c r="U38" s="131"/>
      <c r="V38" s="131"/>
      <c r="W38" s="131"/>
      <c r="X38" s="112" t="str">
        <f>IFERROR(IF(AND(Q37="Probabilidad",Q38="Probabilidad"),(Z37-(+Z37*T38)),IF(AND(Q37="Impacto",Q38="Probabilidad"),(Z36-(+Z36*T38)),IF(Q38="Impacto",Z37,""))),"")</f>
        <v/>
      </c>
      <c r="Y38" s="113" t="str">
        <f t="shared" si="2"/>
        <v/>
      </c>
      <c r="Z38" s="111" t="str">
        <f t="shared" si="3"/>
        <v/>
      </c>
      <c r="AA38" s="113" t="str">
        <f t="shared" si="4"/>
        <v/>
      </c>
      <c r="AB38" s="111" t="str">
        <f>IFERROR(IF(AND(Q37="Impacto",Q38="Impacto"),(AB37-(+AB37*T38)),IF(AND(Q37="Probabilidad",Q38="Impacto"),(AB36-(+AB36*T38)),IF(Q38="Probabilidad",AB37,""))),"")</f>
        <v/>
      </c>
      <c r="AC38" s="114" t="str">
        <f t="shared" si="5"/>
        <v/>
      </c>
      <c r="AD38" s="135"/>
      <c r="AE38" s="158"/>
      <c r="AF38" s="107"/>
      <c r="AG38" s="107"/>
      <c r="AH38" s="109"/>
      <c r="AI38" s="109"/>
      <c r="AJ38" s="107"/>
      <c r="AK38" s="106"/>
    </row>
    <row r="39" spans="1:37" ht="16.5" hidden="1" customHeight="1" x14ac:dyDescent="0.3">
      <c r="A39" s="115"/>
      <c r="B39" s="124"/>
      <c r="C39" s="124"/>
      <c r="D39" s="124"/>
      <c r="E39" s="124"/>
      <c r="F39" s="124"/>
      <c r="G39" s="129"/>
      <c r="H39" s="127" t="str">
        <f>IF(G39&lt;=0,"",IF(G39&lt;=2,"Muy Baja",IF(G39&lt;=24,"Baja",IF(G39&lt;=500,"Media",IF(G39&lt;=5000,"Alta","Muy Alta")))))</f>
        <v/>
      </c>
      <c r="I39" s="126" t="str">
        <f>IF(H39="","",IF(H39="Muy Baja",0.2,IF(H39="Baja",0.4,IF(H39="Media",0.6,IF(H39="Alta",0.8,IF(H39="Muy Alta",1,))))))</f>
        <v/>
      </c>
      <c r="J39" s="125"/>
      <c r="K39" s="126">
        <f ca="1">IF(NOT(ISERROR(MATCH(J39,'Tabla Impacto'!$B$221:$B$223,0))),'Tabla Impacto'!$F$223&amp;"Por favor no seleccionar los criterios de impacto(Afectación Económica o presupuestal y Pérdida Reputacional)",J39)</f>
        <v>0</v>
      </c>
      <c r="L39" s="127" t="str">
        <f ca="1">IF(OR(K39='Tabla Impacto'!$C$11,K39='Tabla Impacto'!$D$11),"Leve",IF(OR(K39='Tabla Impacto'!$C$12,K39='Tabla Impacto'!$D$12),"Menor",IF(OR(K39='Tabla Impacto'!$C$13,K39='Tabla Impacto'!$D$13),"Moderado",IF(OR(K39='Tabla Impacto'!$C$14,K39='Tabla Impacto'!$D$14),"Mayor",IF(OR(K39='Tabla Impacto'!$C$15,K39='Tabla Impacto'!$D$15),"Catastrófico","")))))</f>
        <v/>
      </c>
      <c r="M39" s="126" t="str">
        <f ca="1">IF(L39="","",IF(L39="Leve",0.2,IF(L39="Menor",0.4,IF(L39="Moderado",0.6,IF(L39="Mayor",0.8,IF(L39="Catastrófico",1,))))))</f>
        <v/>
      </c>
      <c r="N39" s="128"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06"/>
      <c r="P39" s="130"/>
      <c r="Q39" s="110" t="str">
        <f t="shared" si="0"/>
        <v/>
      </c>
      <c r="R39" s="108"/>
      <c r="S39" s="108"/>
      <c r="T39" s="111" t="str">
        <f t="shared" si="1"/>
        <v/>
      </c>
      <c r="U39" s="108"/>
      <c r="V39" s="108"/>
      <c r="W39" s="108"/>
      <c r="X39" s="112" t="str">
        <f t="shared" si="7"/>
        <v/>
      </c>
      <c r="Y39" s="113" t="str">
        <f t="shared" si="2"/>
        <v/>
      </c>
      <c r="Z39" s="111" t="str">
        <f t="shared" si="3"/>
        <v/>
      </c>
      <c r="AA39" s="113" t="str">
        <f t="shared" si="4"/>
        <v/>
      </c>
      <c r="AB39" s="111" t="str">
        <f t="shared" si="8"/>
        <v/>
      </c>
      <c r="AC39" s="114" t="str">
        <f t="shared" si="5"/>
        <v/>
      </c>
      <c r="AD39" s="123"/>
      <c r="AE39" s="108"/>
      <c r="AF39" s="107"/>
      <c r="AG39" s="107"/>
      <c r="AH39" s="109"/>
      <c r="AI39" s="109"/>
      <c r="AJ39" s="107"/>
      <c r="AK39" s="106"/>
    </row>
    <row r="40" spans="1:37" ht="16.5" hidden="1" customHeight="1" x14ac:dyDescent="0.3">
      <c r="A40" s="115"/>
      <c r="B40" s="124"/>
      <c r="C40" s="124"/>
      <c r="D40" s="124"/>
      <c r="E40" s="124"/>
      <c r="F40" s="124"/>
      <c r="G40" s="129"/>
      <c r="H40" s="127" t="str">
        <f>IF(G40&lt;=0,"",IF(G40&lt;=2,"Muy Baja",IF(G40&lt;=24,"Baja",IF(G40&lt;=500,"Media",IF(G40&lt;=5000,"Alta","Muy Alta")))))</f>
        <v/>
      </c>
      <c r="I40" s="126" t="str">
        <f>IF(H40="","",IF(H40="Muy Baja",0.2,IF(H40="Baja",0.4,IF(H40="Media",0.6,IF(H40="Alta",0.8,IF(H40="Muy Alta",1,))))))</f>
        <v/>
      </c>
      <c r="J40" s="125"/>
      <c r="K40" s="126">
        <f ca="1">IF(NOT(ISERROR(MATCH(J40,'Tabla Impacto'!$B$221:$B$223,0))),'Tabla Impacto'!$F$223&amp;"Por favor no seleccionar los criterios de impacto(Afectación Económica o presupuestal y Pérdida Reputacional)",J40)</f>
        <v>0</v>
      </c>
      <c r="L40" s="127" t="str">
        <f ca="1">IF(OR(K40='Tabla Impacto'!$C$11,K40='Tabla Impacto'!$D$11),"Leve",IF(OR(K40='Tabla Impacto'!$C$12,K40='Tabla Impacto'!$D$12),"Menor",IF(OR(K40='Tabla Impacto'!$C$13,K40='Tabla Impacto'!$D$13),"Moderado",IF(OR(K40='Tabla Impacto'!$C$14,K40='Tabla Impacto'!$D$14),"Mayor",IF(OR(K40='Tabla Impacto'!$C$15,K40='Tabla Impacto'!$D$15),"Catastrófico","")))))</f>
        <v/>
      </c>
      <c r="M40" s="126" t="str">
        <f ca="1">IF(L40="","",IF(L40="Leve",0.2,IF(L40="Menor",0.4,IF(L40="Moderado",0.6,IF(L40="Mayor",0.8,IF(L40="Catastrófico",1,))))))</f>
        <v/>
      </c>
      <c r="N40" s="12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06"/>
      <c r="P40" s="130"/>
      <c r="Q40" s="110" t="str">
        <f t="shared" si="0"/>
        <v/>
      </c>
      <c r="R40" s="108"/>
      <c r="S40" s="108"/>
      <c r="T40" s="111" t="str">
        <f t="shared" si="1"/>
        <v/>
      </c>
      <c r="U40" s="108"/>
      <c r="V40" s="108"/>
      <c r="W40" s="108"/>
      <c r="X40" s="112" t="str">
        <f t="shared" si="7"/>
        <v/>
      </c>
      <c r="Y40" s="113" t="str">
        <f t="shared" si="2"/>
        <v/>
      </c>
      <c r="Z40" s="111" t="str">
        <f t="shared" si="3"/>
        <v/>
      </c>
      <c r="AA40" s="113" t="str">
        <f t="shared" si="4"/>
        <v/>
      </c>
      <c r="AB40" s="111" t="str">
        <f t="shared" si="8"/>
        <v/>
      </c>
      <c r="AC40" s="114" t="str">
        <f t="shared" si="5"/>
        <v/>
      </c>
      <c r="AD40" s="121"/>
      <c r="AE40" s="108"/>
      <c r="AF40" s="107"/>
      <c r="AG40" s="107"/>
      <c r="AH40" s="109"/>
      <c r="AI40" s="109"/>
      <c r="AJ40" s="107"/>
      <c r="AK40" s="106"/>
    </row>
    <row r="41" spans="1:37" ht="13.5" hidden="1" x14ac:dyDescent="0.3">
      <c r="A41" s="149">
        <v>6</v>
      </c>
      <c r="B41" s="150"/>
      <c r="C41" s="148"/>
      <c r="D41" s="148"/>
      <c r="E41" s="148"/>
      <c r="F41" s="148"/>
      <c r="G41" s="149"/>
      <c r="H41" s="139" t="str">
        <f>IF(G41&lt;=0,"",IF(G41&lt;=2,"Muy Baja",IF(G41&lt;=24,"Baja",IF(G41&lt;=500,"Media",IF(G41&lt;=5000,"Alta","Muy Alta")))))</f>
        <v/>
      </c>
      <c r="I41" s="141" t="str">
        <f>IF(H41="","",IF(H41="Muy Baja",0.2,IF(H41="Baja",0.4,IF(H41="Media",0.6,IF(H41="Alta",0.8,IF(H41="Muy Alta",1,))))))</f>
        <v/>
      </c>
      <c r="J41" s="143"/>
      <c r="K41" s="141">
        <f>IF(NOT(ISERROR(MATCH(J41,'[1]Tabla Impacto'!$B$221:$B$223,0))),'[1]Tabla Impacto'!$F$223&amp;"Por favor no seleccionar los criterios de impacto(Afectación Económica o presupuestal y Pérdida Reputacional)",J41)</f>
        <v>0</v>
      </c>
      <c r="L41" s="139" t="str">
        <f>IF(OR(K41='[1]Tabla Impacto'!$C$11,K41='[1]Tabla Impacto'!$D$11),"Leve",IF(OR(K41='[1]Tabla Impacto'!$C$12,K41='[1]Tabla Impacto'!$D$12),"Menor",IF(OR(K41='[1]Tabla Impacto'!$C$13,K41='[1]Tabla Impacto'!$D$13),"Moderado",IF(OR(K41='[1]Tabla Impacto'!$C$14,K41='[1]Tabla Impacto'!$D$14),"Mayor",IF(OR(K41='[1]Tabla Impacto'!$C$15,K41='[1]Tabla Impacto'!$D$15),"Catastrófico","")))))</f>
        <v/>
      </c>
      <c r="M41" s="141" t="str">
        <f>IF(L41="","",IF(L41="Leve",0.2,IF(L41="Menor",0.4,IF(L41="Moderado",0.6,IF(L41="Mayor",0.8,IF(L41="Catastrófico",1,))))))</f>
        <v/>
      </c>
      <c r="N41" s="142"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06">
        <v>1</v>
      </c>
      <c r="P41" s="130"/>
      <c r="Q41" s="110" t="str">
        <f t="shared" si="0"/>
        <v/>
      </c>
      <c r="R41" s="108"/>
      <c r="S41" s="108"/>
      <c r="T41" s="111" t="str">
        <f t="shared" ref="T41:T43" si="13">IF(AND(R41="Preventivo",S41="Automático"),"50%",IF(AND(R41="Preventivo",S41="Manual"),"40%",IF(AND(R41="Detectivo",S41="Automático"),"40%",IF(AND(R41="Detectivo",S41="Manual"),"30%",IF(AND(R41="Correctivo",S41="Automático"),"35%",IF(AND(R41="Correctivo",S41="Manual"),"25%",""))))))</f>
        <v/>
      </c>
      <c r="U41" s="131"/>
      <c r="V41" s="131"/>
      <c r="W41" s="131"/>
      <c r="X41" s="112" t="str">
        <f>IFERROR(IF(Q41="Probabilidad",(I41-(+I41*T41)),IF(Q41="Impacto",I41,"")),"")</f>
        <v/>
      </c>
      <c r="Y41" s="113" t="str">
        <f t="shared" si="2"/>
        <v/>
      </c>
      <c r="Z41" s="111" t="str">
        <f t="shared" si="3"/>
        <v/>
      </c>
      <c r="AA41" s="113" t="str">
        <f t="shared" si="4"/>
        <v/>
      </c>
      <c r="AB41" s="111" t="str">
        <f>IFERROR(IF(Q41="Impacto",(M41-(+M41*T41)),IF(Q41="Probabilidad",M41,"")),"")</f>
        <v/>
      </c>
      <c r="AC41" s="114" t="str">
        <f t="shared" si="5"/>
        <v/>
      </c>
      <c r="AD41" s="133"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156"/>
      <c r="AF41" s="107"/>
      <c r="AG41" s="107"/>
      <c r="AH41" s="109"/>
      <c r="AI41" s="109"/>
      <c r="AJ41" s="107"/>
      <c r="AK41" s="106"/>
    </row>
    <row r="42" spans="1:37" ht="13.5" hidden="1" x14ac:dyDescent="0.3">
      <c r="A42" s="144"/>
      <c r="B42" s="151"/>
      <c r="C42" s="148"/>
      <c r="D42" s="148"/>
      <c r="E42" s="144"/>
      <c r="F42" s="144"/>
      <c r="G42" s="144"/>
      <c r="H42" s="140"/>
      <c r="I42" s="140"/>
      <c r="J42" s="144"/>
      <c r="K42" s="140"/>
      <c r="L42" s="140"/>
      <c r="M42" s="140"/>
      <c r="N42" s="140"/>
      <c r="O42" s="106">
        <v>2</v>
      </c>
      <c r="P42" s="130"/>
      <c r="Q42" s="110" t="str">
        <f t="shared" si="0"/>
        <v/>
      </c>
      <c r="R42" s="108"/>
      <c r="S42" s="108"/>
      <c r="T42" s="111" t="str">
        <f t="shared" si="13"/>
        <v/>
      </c>
      <c r="U42" s="131"/>
      <c r="V42" s="131"/>
      <c r="W42" s="131"/>
      <c r="X42" s="112" t="str">
        <f>IFERROR(IF(AND(Q41="Probabilidad",Q42="Probabilidad"),(Z41-(+Z41*T42)),IF(Q42="Probabilidad",(I41-(+I41*T42)),IF(Q42="Impacto",Z41,""))),"")</f>
        <v/>
      </c>
      <c r="Y42" s="113" t="str">
        <f t="shared" si="2"/>
        <v/>
      </c>
      <c r="Z42" s="111" t="str">
        <f t="shared" si="3"/>
        <v/>
      </c>
      <c r="AA42" s="113" t="str">
        <f t="shared" si="4"/>
        <v/>
      </c>
      <c r="AB42" s="111" t="str">
        <f>IFERROR(IF(AND(Q41="Impacto",Q42="Impacto"),(AB41-(+AB41*T42)),IF(Q42="Impacto",($M$16-(+$M$16*T42)),IF(Q42="Probabilidad",AB41,""))),"")</f>
        <v/>
      </c>
      <c r="AC42" s="114" t="str">
        <f t="shared" si="5"/>
        <v/>
      </c>
      <c r="AD42" s="134"/>
      <c r="AE42" s="157"/>
      <c r="AF42" s="107"/>
      <c r="AG42" s="107"/>
      <c r="AH42" s="109"/>
      <c r="AI42" s="109"/>
      <c r="AJ42" s="107"/>
      <c r="AK42" s="106"/>
    </row>
    <row r="43" spans="1:37" ht="13.5" hidden="1" x14ac:dyDescent="0.3">
      <c r="A43" s="144"/>
      <c r="B43" s="152"/>
      <c r="C43" s="148"/>
      <c r="D43" s="148"/>
      <c r="E43" s="144"/>
      <c r="F43" s="144"/>
      <c r="G43" s="144"/>
      <c r="H43" s="140"/>
      <c r="I43" s="140"/>
      <c r="J43" s="144"/>
      <c r="K43" s="140"/>
      <c r="L43" s="140"/>
      <c r="M43" s="140"/>
      <c r="N43" s="140"/>
      <c r="O43" s="106">
        <v>3</v>
      </c>
      <c r="P43" s="130"/>
      <c r="Q43" s="110" t="str">
        <f t="shared" si="0"/>
        <v/>
      </c>
      <c r="R43" s="108"/>
      <c r="S43" s="108"/>
      <c r="T43" s="111" t="str">
        <f t="shared" si="13"/>
        <v/>
      </c>
      <c r="U43" s="131"/>
      <c r="V43" s="131"/>
      <c r="W43" s="131"/>
      <c r="X43" s="112" t="str">
        <f>IFERROR(IF(AND(Q42="Probabilidad",Q43="Probabilidad"),(Z42-(+Z42*T43)),IF(AND(Q42="Impacto",Q43="Probabilidad"),(Z41-(+Z41*T43)),IF(Q43="Impacto",Z42,""))),"")</f>
        <v/>
      </c>
      <c r="Y43" s="113" t="str">
        <f t="shared" si="2"/>
        <v/>
      </c>
      <c r="Z43" s="111" t="str">
        <f t="shared" si="3"/>
        <v/>
      </c>
      <c r="AA43" s="113" t="str">
        <f t="shared" si="4"/>
        <v/>
      </c>
      <c r="AB43" s="111" t="str">
        <f>IFERROR(IF(AND(Q42="Impacto",Q43="Impacto"),(AB42-(+AB42*T43)),IF(AND(Q42="Probabilidad",Q43="Impacto"),(AB41-(+AB41*T43)),IF(Q43="Probabilidad",AB42,""))),"")</f>
        <v/>
      </c>
      <c r="AC43" s="114" t="str">
        <f t="shared" si="5"/>
        <v/>
      </c>
      <c r="AD43" s="135"/>
      <c r="AE43" s="158"/>
      <c r="AF43" s="107"/>
      <c r="AG43" s="107"/>
      <c r="AH43" s="109"/>
      <c r="AI43" s="109"/>
      <c r="AJ43" s="107"/>
      <c r="AK43" s="106"/>
    </row>
    <row r="44" spans="1:37" hidden="1" x14ac:dyDescent="0.3">
      <c r="A44" s="115"/>
      <c r="B44" s="124"/>
      <c r="C44" s="124"/>
      <c r="D44" s="124"/>
      <c r="E44" s="124"/>
      <c r="F44" s="124"/>
      <c r="G44" s="129"/>
      <c r="H44" s="127" t="str">
        <f>IF(G44&lt;=0,"",IF(G44&lt;=2,"Muy Baja",IF(G44&lt;=24,"Baja",IF(G44&lt;=500,"Media",IF(G44&lt;=5000,"Alta","Muy Alta")))))</f>
        <v/>
      </c>
      <c r="I44" s="126" t="str">
        <f>IF(H44="","",IF(H44="Muy Baja",0.2,IF(H44="Baja",0.4,IF(H44="Media",0.6,IF(H44="Alta",0.8,IF(H44="Muy Alta",1,))))))</f>
        <v/>
      </c>
      <c r="J44" s="125"/>
      <c r="K44" s="126">
        <f ca="1">IF(NOT(ISERROR(MATCH(J44,'Tabla Impacto'!$B$221:$B$223,0))),'Tabla Impacto'!$F$223&amp;"Por favor no seleccionar los criterios de impacto(Afectación Económica o presupuestal y Pérdida Reputacional)",J44)</f>
        <v>0</v>
      </c>
      <c r="L44" s="127" t="str">
        <f ca="1">IF(OR(K44='Tabla Impacto'!$C$11,K44='Tabla Impacto'!$D$11),"Leve",IF(OR(K44='Tabla Impacto'!$C$12,K44='Tabla Impacto'!$D$12),"Menor",IF(OR(K44='Tabla Impacto'!$C$13,K44='Tabla Impacto'!$D$13),"Moderado",IF(OR(K44='Tabla Impacto'!$C$14,K44='Tabla Impacto'!$D$14),"Mayor",IF(OR(K44='Tabla Impacto'!$C$15,K44='Tabla Impacto'!$D$15),"Catastrófico","")))))</f>
        <v/>
      </c>
      <c r="M44" s="126" t="str">
        <f ca="1">IF(L44="","",IF(L44="Leve",0.2,IF(L44="Menor",0.4,IF(L44="Moderado",0.6,IF(L44="Mayor",0.8,IF(L44="Catastrófico",1,))))))</f>
        <v/>
      </c>
      <c r="N44" s="128" t="str">
        <f ca="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c r="P44" s="107"/>
      <c r="Q44" s="110"/>
      <c r="R44" s="108"/>
      <c r="S44" s="108"/>
      <c r="T44" s="111" t="str">
        <f t="shared" ref="T44:T45" si="14">IF(AND(R44="Preventivo",S44="Automático"),"50%",IF(AND(R44="Preventivo",S44="Manual"),"40%",IF(AND(R44="Detectivo",S44="Automático"),"40%",IF(AND(R44="Detectivo",S44="Manual"),"30%",IF(AND(R44="Correctivo",S44="Automático"),"35%",IF(AND(R44="Correctivo",S44="Manual"),"25%",""))))))</f>
        <v/>
      </c>
      <c r="U44" s="108"/>
      <c r="V44" s="108"/>
      <c r="W44" s="108"/>
      <c r="X44" s="112" t="str">
        <f t="shared" ref="X44:X45" si="15">IFERROR(IF(Q44="Probabilidad",(I44-(+I44*T44)),IF(Q44="Impacto",I44,"")),"")</f>
        <v/>
      </c>
      <c r="Y44" s="113" t="str">
        <f t="shared" ref="Y44:Y45" si="16">IFERROR(IF(X44="","",IF(X44&lt;=0.2,"Muy Baja",IF(X44&lt;=0.4,"Baja",IF(X44&lt;=0.6,"Media",IF(X44&lt;=0.8,"Alta","Muy Alta"))))),"")</f>
        <v/>
      </c>
      <c r="Z44" s="111" t="str">
        <f t="shared" ref="Z44:Z45" si="17">+X44</f>
        <v/>
      </c>
      <c r="AA44" s="113" t="str">
        <f t="shared" ref="AA44:AA45" si="18">IFERROR(IF(AB44="","",IF(AB44&lt;=0.2,"Leve",IF(AB44&lt;=0.4,"Menor",IF(AB44&lt;=0.6,"Moderado",IF(AB44&lt;=0.8,"Mayor","Catastrófico"))))),"")</f>
        <v/>
      </c>
      <c r="AB44" s="111" t="str">
        <f t="shared" ref="AB44:AB45" si="19">IFERROR(IF(Q44="Impacto",(M44-(+M44*T44)),IF(Q44="Probabilidad",M44,"")),"")</f>
        <v/>
      </c>
      <c r="AC44" s="114" t="str">
        <f t="shared" ref="AC44:AC45" si="2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3"/>
      <c r="AE44" s="108"/>
      <c r="AF44" s="107"/>
      <c r="AG44" s="107"/>
      <c r="AH44" s="109"/>
      <c r="AI44" s="109"/>
      <c r="AJ44" s="107"/>
      <c r="AK44" s="106"/>
    </row>
    <row r="45" spans="1:37" hidden="1" x14ac:dyDescent="0.3">
      <c r="A45" s="115"/>
      <c r="B45" s="124"/>
      <c r="C45" s="124"/>
      <c r="D45" s="124"/>
      <c r="E45" s="124"/>
      <c r="F45" s="124"/>
      <c r="G45" s="129"/>
      <c r="H45" s="127" t="str">
        <f>IF(G45&lt;=0,"",IF(G45&lt;=2,"Muy Baja",IF(G45&lt;=24,"Baja",IF(G45&lt;=500,"Media",IF(G45&lt;=5000,"Alta","Muy Alta")))))</f>
        <v/>
      </c>
      <c r="I45" s="126" t="str">
        <f>IF(H45="","",IF(H45="Muy Baja",0.2,IF(H45="Baja",0.4,IF(H45="Media",0.6,IF(H45="Alta",0.8,IF(H45="Muy Alta",1,))))))</f>
        <v/>
      </c>
      <c r="J45" s="125"/>
      <c r="K45" s="126">
        <f ca="1">IF(NOT(ISERROR(MATCH(J45,'Tabla Impacto'!$B$221:$B$223,0))),'Tabla Impacto'!$F$223&amp;"Por favor no seleccionar los criterios de impacto(Afectación Económica o presupuestal y Pérdida Reputacional)",J45)</f>
        <v>0</v>
      </c>
      <c r="L45" s="127" t="str">
        <f ca="1">IF(OR(K45='Tabla Impacto'!$C$11,K45='Tabla Impacto'!$D$11),"Leve",IF(OR(K45='Tabla Impacto'!$C$12,K45='Tabla Impacto'!$D$12),"Menor",IF(OR(K45='Tabla Impacto'!$C$13,K45='Tabla Impacto'!$D$13),"Moderado",IF(OR(K45='Tabla Impacto'!$C$14,K45='Tabla Impacto'!$D$14),"Mayor",IF(OR(K45='Tabla Impacto'!$C$15,K45='Tabla Impacto'!$D$15),"Catastrófico","")))))</f>
        <v/>
      </c>
      <c r="M45" s="126" t="str">
        <f ca="1">IF(L45="","",IF(L45="Leve",0.2,IF(L45="Menor",0.4,IF(L45="Moderado",0.6,IF(L45="Mayor",0.8,IF(L45="Catastrófico",1,))))))</f>
        <v/>
      </c>
      <c r="N45" s="128" t="str">
        <f ca="1">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106"/>
      <c r="P45" s="107"/>
      <c r="Q45" s="106" t="str">
        <f t="shared" ref="Q45" si="21">IF(OR(R45="Preventivo",R45="Detectivo"),"Probabilidad",IF(R45="Correctivo","Impacto",""))</f>
        <v/>
      </c>
      <c r="R45" s="108"/>
      <c r="S45" s="108"/>
      <c r="T45" s="111" t="str">
        <f t="shared" si="14"/>
        <v/>
      </c>
      <c r="U45" s="108"/>
      <c r="V45" s="108"/>
      <c r="W45" s="108"/>
      <c r="X45" s="112" t="str">
        <f t="shared" si="15"/>
        <v/>
      </c>
      <c r="Y45" s="113" t="str">
        <f t="shared" si="16"/>
        <v/>
      </c>
      <c r="Z45" s="111" t="str">
        <f t="shared" si="17"/>
        <v/>
      </c>
      <c r="AA45" s="113" t="str">
        <f t="shared" si="18"/>
        <v/>
      </c>
      <c r="AB45" s="111" t="str">
        <f t="shared" si="19"/>
        <v/>
      </c>
      <c r="AC45" s="114" t="str">
        <f t="shared" si="20"/>
        <v/>
      </c>
      <c r="AD45" s="121"/>
      <c r="AE45" s="108"/>
      <c r="AF45" s="107"/>
      <c r="AG45" s="107"/>
      <c r="AH45" s="109"/>
      <c r="AI45" s="109"/>
      <c r="AJ45" s="107"/>
      <c r="AK45" s="106"/>
    </row>
    <row r="46" spans="1:37" s="118" customFormat="1" ht="13.5" x14ac:dyDescent="0.3">
      <c r="A46" s="110"/>
      <c r="B46" s="138" t="s">
        <v>216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row>
    <row r="47" spans="1:37" x14ac:dyDescent="0.3">
      <c r="B47" s="120" t="s">
        <v>92</v>
      </c>
      <c r="AD47" s="117"/>
    </row>
    <row r="48" spans="1:37" x14ac:dyDescent="0.3">
      <c r="AD48" s="117"/>
    </row>
  </sheetData>
  <sheetProtection algorithmName="SHA-512" hashValue="MJRnfmb/iEo5Vm36kQGX4mvnn/sm+PUdMubom25awPv/uaeFRIh/e+DZ9pZdLlE6rIk9FHEthKvKQbpat+tXmA==" saltValue="FNqcJvtdn8zvMhAKBC2LDA==" spinCount="100000" sheet="1" formatCells="0" formatColumns="0" formatRows="0" insertRows="0" insertHyperlinks="0" deleteRows="0" selectLockedCells="1" sort="0" autoFilter="0"/>
  <mergeCells count="155">
    <mergeCell ref="J16:J19"/>
    <mergeCell ref="J21:J24"/>
    <mergeCell ref="J26:J29"/>
    <mergeCell ref="AE21:AE23"/>
    <mergeCell ref="AE26:AE28"/>
    <mergeCell ref="AE31:AE33"/>
    <mergeCell ref="AE36:AE38"/>
    <mergeCell ref="AE41:AE43"/>
    <mergeCell ref="A1:D5"/>
    <mergeCell ref="E1:AK1"/>
    <mergeCell ref="E2:AK2"/>
    <mergeCell ref="E3:AK3"/>
    <mergeCell ref="E4:M4"/>
    <mergeCell ref="E5:M5"/>
    <mergeCell ref="N4:X4"/>
    <mergeCell ref="N5:X5"/>
    <mergeCell ref="Y4:AG4"/>
    <mergeCell ref="Y5:AG5"/>
    <mergeCell ref="AH4:AK4"/>
    <mergeCell ref="AH5:AK5"/>
    <mergeCell ref="K21:K23"/>
    <mergeCell ref="L21:L23"/>
    <mergeCell ref="M21:M23"/>
    <mergeCell ref="N21:N23"/>
    <mergeCell ref="A21:A23"/>
    <mergeCell ref="B21:B23"/>
    <mergeCell ref="C21:C23"/>
    <mergeCell ref="D21:D23"/>
    <mergeCell ref="E21:E23"/>
    <mergeCell ref="F21:F23"/>
    <mergeCell ref="G21:G23"/>
    <mergeCell ref="K26:K28"/>
    <mergeCell ref="L26:L28"/>
    <mergeCell ref="M26:M28"/>
    <mergeCell ref="N26:N28"/>
    <mergeCell ref="A26:A28"/>
    <mergeCell ref="B26:B28"/>
    <mergeCell ref="C26:C28"/>
    <mergeCell ref="D26:D28"/>
    <mergeCell ref="E26:E28"/>
    <mergeCell ref="F26:F28"/>
    <mergeCell ref="G26:G28"/>
    <mergeCell ref="N31:N33"/>
    <mergeCell ref="A31:A33"/>
    <mergeCell ref="B31:B33"/>
    <mergeCell ref="C31:C33"/>
    <mergeCell ref="D31:D33"/>
    <mergeCell ref="E31:E33"/>
    <mergeCell ref="F31:F33"/>
    <mergeCell ref="G31:G33"/>
    <mergeCell ref="H31:H33"/>
    <mergeCell ref="I31:I33"/>
    <mergeCell ref="J31:J33"/>
    <mergeCell ref="K31:K33"/>
    <mergeCell ref="L31:L33"/>
    <mergeCell ref="M31:M33"/>
    <mergeCell ref="K16:K18"/>
    <mergeCell ref="L16:L18"/>
    <mergeCell ref="A7:AK8"/>
    <mergeCell ref="A10:B10"/>
    <mergeCell ref="C10:N10"/>
    <mergeCell ref="O10:Q10"/>
    <mergeCell ref="A11:B11"/>
    <mergeCell ref="C11:N11"/>
    <mergeCell ref="C12:N12"/>
    <mergeCell ref="AJ14:AJ15"/>
    <mergeCell ref="AK14:AK15"/>
    <mergeCell ref="A12:B12"/>
    <mergeCell ref="A13:G13"/>
    <mergeCell ref="H13:N13"/>
    <mergeCell ref="O13:W13"/>
    <mergeCell ref="X13:AE13"/>
    <mergeCell ref="AF13:AK13"/>
    <mergeCell ref="A14:A15"/>
    <mergeCell ref="P14:P15"/>
    <mergeCell ref="Q14:Q15"/>
    <mergeCell ref="R14:W14"/>
    <mergeCell ref="X14:X15"/>
    <mergeCell ref="Y14:Y15"/>
    <mergeCell ref="AF14:AF15"/>
    <mergeCell ref="AG14:AG15"/>
    <mergeCell ref="AH14:AH15"/>
    <mergeCell ref="AI14:AI15"/>
    <mergeCell ref="M14:M15"/>
    <mergeCell ref="N14:N15"/>
    <mergeCell ref="O14:O15"/>
    <mergeCell ref="M16:M18"/>
    <mergeCell ref="N16:N18"/>
    <mergeCell ref="Z14:Z15"/>
    <mergeCell ref="AA14:AA15"/>
    <mergeCell ref="AB14:AB15"/>
    <mergeCell ref="AE16:AE18"/>
    <mergeCell ref="A16:A18"/>
    <mergeCell ref="B16:B18"/>
    <mergeCell ref="C16:C18"/>
    <mergeCell ref="D16:D18"/>
    <mergeCell ref="E16:E18"/>
    <mergeCell ref="H36:H38"/>
    <mergeCell ref="I36:I38"/>
    <mergeCell ref="D14:D15"/>
    <mergeCell ref="E14:E15"/>
    <mergeCell ref="F14:F15"/>
    <mergeCell ref="G14:G15"/>
    <mergeCell ref="H14:H15"/>
    <mergeCell ref="I14:I15"/>
    <mergeCell ref="H26:H28"/>
    <mergeCell ref="I26:I28"/>
    <mergeCell ref="H21:H23"/>
    <mergeCell ref="I21:I23"/>
    <mergeCell ref="F16:F18"/>
    <mergeCell ref="G16:G18"/>
    <mergeCell ref="H16:H18"/>
    <mergeCell ref="I16:I18"/>
    <mergeCell ref="A36:A38"/>
    <mergeCell ref="B36:B38"/>
    <mergeCell ref="C36:C38"/>
    <mergeCell ref="D36:D38"/>
    <mergeCell ref="E36:E38"/>
    <mergeCell ref="F36:F38"/>
    <mergeCell ref="G36:G38"/>
    <mergeCell ref="J36:J38"/>
    <mergeCell ref="K36:K38"/>
    <mergeCell ref="A41:A43"/>
    <mergeCell ref="B41:B43"/>
    <mergeCell ref="C41:C43"/>
    <mergeCell ref="D41:D43"/>
    <mergeCell ref="E41:E43"/>
    <mergeCell ref="F41:F43"/>
    <mergeCell ref="G41:G43"/>
    <mergeCell ref="H41:H43"/>
    <mergeCell ref="I41:I43"/>
    <mergeCell ref="AD10:AD12"/>
    <mergeCell ref="AD21:AD23"/>
    <mergeCell ref="AD16:AD18"/>
    <mergeCell ref="AD14:AD15"/>
    <mergeCell ref="AD31:AD33"/>
    <mergeCell ref="AD36:AD38"/>
    <mergeCell ref="AD41:AD43"/>
    <mergeCell ref="AD26:AD28"/>
    <mergeCell ref="B46:AK46"/>
    <mergeCell ref="L41:L43"/>
    <mergeCell ref="M41:M43"/>
    <mergeCell ref="N41:N43"/>
    <mergeCell ref="J41:J43"/>
    <mergeCell ref="K41:K43"/>
    <mergeCell ref="L36:L38"/>
    <mergeCell ref="M36:M38"/>
    <mergeCell ref="N36:N38"/>
    <mergeCell ref="B14:B15"/>
    <mergeCell ref="C14:C15"/>
    <mergeCell ref="J14:J15"/>
    <mergeCell ref="K14:K15"/>
    <mergeCell ref="L14:L15"/>
    <mergeCell ref="AC14:AC15"/>
    <mergeCell ref="AE14:AE15"/>
  </mergeCells>
  <conditionalFormatting sqref="H16">
    <cfRule type="cellIs" dxfId="132" priority="181" operator="equal">
      <formula>"Baja"</formula>
    </cfRule>
    <cfRule type="cellIs" dxfId="131" priority="180" operator="equal">
      <formula>"Media"</formula>
    </cfRule>
    <cfRule type="cellIs" dxfId="130" priority="179" operator="equal">
      <formula>"Alta"</formula>
    </cfRule>
    <cfRule type="cellIs" dxfId="129" priority="178" operator="equal">
      <formula>"Muy Alta"</formula>
    </cfRule>
    <cfRule type="cellIs" dxfId="128" priority="182" operator="equal">
      <formula>"Muy Baja"</formula>
    </cfRule>
  </conditionalFormatting>
  <conditionalFormatting sqref="H19:H21">
    <cfRule type="cellIs" dxfId="127" priority="68" operator="equal">
      <formula>"Media"</formula>
    </cfRule>
    <cfRule type="cellIs" dxfId="126" priority="67" operator="equal">
      <formula>"Alta"</formula>
    </cfRule>
    <cfRule type="cellIs" dxfId="125" priority="66" operator="equal">
      <formula>"Muy Alta"</formula>
    </cfRule>
    <cfRule type="cellIs" dxfId="124" priority="70" operator="equal">
      <formula>"Muy Baja"</formula>
    </cfRule>
    <cfRule type="cellIs" dxfId="123" priority="69" operator="equal">
      <formula>"Baja"</formula>
    </cfRule>
  </conditionalFormatting>
  <conditionalFormatting sqref="H24:H26">
    <cfRule type="cellIs" dxfId="122" priority="65" operator="equal">
      <formula>"Muy Baja"</formula>
    </cfRule>
    <cfRule type="cellIs" dxfId="121" priority="61" operator="equal">
      <formula>"Muy Alta"</formula>
    </cfRule>
    <cfRule type="cellIs" dxfId="120" priority="63" operator="equal">
      <formula>"Media"</formula>
    </cfRule>
    <cfRule type="cellIs" dxfId="119" priority="64" operator="equal">
      <formula>"Baja"</formula>
    </cfRule>
    <cfRule type="cellIs" dxfId="118" priority="62" operator="equal">
      <formula>"Alta"</formula>
    </cfRule>
  </conditionalFormatting>
  <conditionalFormatting sqref="H29:H31">
    <cfRule type="cellIs" dxfId="117" priority="60" operator="equal">
      <formula>"Muy Baja"</formula>
    </cfRule>
    <cfRule type="cellIs" dxfId="116" priority="59" operator="equal">
      <formula>"Baja"</formula>
    </cfRule>
    <cfRule type="cellIs" dxfId="115" priority="58" operator="equal">
      <formula>"Media"</formula>
    </cfRule>
    <cfRule type="cellIs" dxfId="114" priority="57" operator="equal">
      <formula>"Alta"</formula>
    </cfRule>
    <cfRule type="cellIs" dxfId="113" priority="56" operator="equal">
      <formula>"Muy Alta"</formula>
    </cfRule>
  </conditionalFormatting>
  <conditionalFormatting sqref="H34:H36">
    <cfRule type="cellIs" dxfId="112" priority="51" operator="equal">
      <formula>"Muy Alta"</formula>
    </cfRule>
    <cfRule type="cellIs" dxfId="111" priority="55" operator="equal">
      <formula>"Muy Baja"</formula>
    </cfRule>
    <cfRule type="cellIs" dxfId="110" priority="54" operator="equal">
      <formula>"Baja"</formula>
    </cfRule>
    <cfRule type="cellIs" dxfId="109" priority="53" operator="equal">
      <formula>"Media"</formula>
    </cfRule>
    <cfRule type="cellIs" dxfId="108" priority="52" operator="equal">
      <formula>"Alta"</formula>
    </cfRule>
  </conditionalFormatting>
  <conditionalFormatting sqref="H39:H41">
    <cfRule type="cellIs" dxfId="107" priority="50" operator="equal">
      <formula>"Muy Baja"</formula>
    </cfRule>
    <cfRule type="cellIs" dxfId="106" priority="49" operator="equal">
      <formula>"Baja"</formula>
    </cfRule>
    <cfRule type="cellIs" dxfId="105" priority="48" operator="equal">
      <formula>"Media"</formula>
    </cfRule>
    <cfRule type="cellIs" dxfId="104" priority="46" operator="equal">
      <formula>"Muy Alta"</formula>
    </cfRule>
    <cfRule type="cellIs" dxfId="103" priority="47" operator="equal">
      <formula>"Alta"</formula>
    </cfRule>
  </conditionalFormatting>
  <conditionalFormatting sqref="H44:H45">
    <cfRule type="cellIs" dxfId="102" priority="189" operator="equal">
      <formula>"Muy Alta"</formula>
    </cfRule>
    <cfRule type="cellIs" dxfId="101" priority="190" operator="equal">
      <formula>"Alta"</formula>
    </cfRule>
    <cfRule type="cellIs" dxfId="100" priority="191" operator="equal">
      <formula>"Media"</formula>
    </cfRule>
    <cfRule type="cellIs" dxfId="99" priority="192" operator="equal">
      <formula>"Baja"</formula>
    </cfRule>
    <cfRule type="cellIs" dxfId="98" priority="193" operator="equal">
      <formula>"Muy Baja"</formula>
    </cfRule>
  </conditionalFormatting>
  <conditionalFormatting sqref="K16:K45">
    <cfRule type="containsText" dxfId="97" priority="183" operator="containsText" text="❌">
      <formula>NOT(ISERROR(SEARCH(("❌"),(K16))))</formula>
    </cfRule>
  </conditionalFormatting>
  <conditionalFormatting sqref="L16">
    <cfRule type="cellIs" dxfId="96" priority="149" operator="equal">
      <formula>"Mayor"</formula>
    </cfRule>
    <cfRule type="cellIs" dxfId="95" priority="148" operator="equal">
      <formula>"Catastrófico"</formula>
    </cfRule>
    <cfRule type="cellIs" dxfId="94" priority="152" operator="equal">
      <formula>"Leve"</formula>
    </cfRule>
    <cfRule type="cellIs" dxfId="93" priority="151" operator="equal">
      <formula>"Menor"</formula>
    </cfRule>
    <cfRule type="cellIs" dxfId="92" priority="150" operator="equal">
      <formula>"Moderado"</formula>
    </cfRule>
  </conditionalFormatting>
  <conditionalFormatting sqref="L19:L21">
    <cfRule type="cellIs" dxfId="91" priority="42" operator="equal">
      <formula>"Mayor"</formula>
    </cfRule>
    <cfRule type="cellIs" dxfId="90" priority="43" operator="equal">
      <formula>"Moderado"</formula>
    </cfRule>
    <cfRule type="cellIs" dxfId="89" priority="44" operator="equal">
      <formula>"Menor"</formula>
    </cfRule>
    <cfRule type="cellIs" dxfId="88" priority="45" operator="equal">
      <formula>"Leve"</formula>
    </cfRule>
    <cfRule type="cellIs" dxfId="87" priority="41" operator="equal">
      <formula>"Catastrófico"</formula>
    </cfRule>
  </conditionalFormatting>
  <conditionalFormatting sqref="L24:L26">
    <cfRule type="cellIs" dxfId="86" priority="37" operator="equal">
      <formula>"Mayor"</formula>
    </cfRule>
    <cfRule type="cellIs" dxfId="85" priority="36" operator="equal">
      <formula>"Catastrófico"</formula>
    </cfRule>
    <cfRule type="cellIs" dxfId="84" priority="38" operator="equal">
      <formula>"Moderado"</formula>
    </cfRule>
    <cfRule type="cellIs" dxfId="83" priority="39" operator="equal">
      <formula>"Menor"</formula>
    </cfRule>
    <cfRule type="cellIs" dxfId="82" priority="40" operator="equal">
      <formula>"Leve"</formula>
    </cfRule>
  </conditionalFormatting>
  <conditionalFormatting sqref="L29:L31">
    <cfRule type="cellIs" dxfId="81" priority="35" operator="equal">
      <formula>"Leve"</formula>
    </cfRule>
    <cfRule type="cellIs" dxfId="80" priority="34" operator="equal">
      <formula>"Menor"</formula>
    </cfRule>
    <cfRule type="cellIs" dxfId="79" priority="32" operator="equal">
      <formula>"Mayor"</formula>
    </cfRule>
    <cfRule type="cellIs" dxfId="78" priority="31" operator="equal">
      <formula>"Catastrófico"</formula>
    </cfRule>
    <cfRule type="cellIs" dxfId="77" priority="33" operator="equal">
      <formula>"Moderado"</formula>
    </cfRule>
  </conditionalFormatting>
  <conditionalFormatting sqref="L34:L36">
    <cfRule type="cellIs" dxfId="76" priority="29" operator="equal">
      <formula>"Menor"</formula>
    </cfRule>
    <cfRule type="cellIs" dxfId="75" priority="30" operator="equal">
      <formula>"Leve"</formula>
    </cfRule>
    <cfRule type="cellIs" dxfId="74" priority="28" operator="equal">
      <formula>"Moderado"</formula>
    </cfRule>
    <cfRule type="cellIs" dxfId="73" priority="27" operator="equal">
      <formula>"Mayor"</formula>
    </cfRule>
    <cfRule type="cellIs" dxfId="72" priority="26" operator="equal">
      <formula>"Catastrófico"</formula>
    </cfRule>
  </conditionalFormatting>
  <conditionalFormatting sqref="L39:L41">
    <cfRule type="cellIs" dxfId="71" priority="25" operator="equal">
      <formula>"Leve"</formula>
    </cfRule>
    <cfRule type="cellIs" dxfId="70" priority="24" operator="equal">
      <formula>"Menor"</formula>
    </cfRule>
    <cfRule type="cellIs" dxfId="69" priority="23" operator="equal">
      <formula>"Moderado"</formula>
    </cfRule>
    <cfRule type="cellIs" dxfId="68" priority="22" operator="equal">
      <formula>"Mayor"</formula>
    </cfRule>
    <cfRule type="cellIs" dxfId="67" priority="21" operator="equal">
      <formula>"Catastrófico"</formula>
    </cfRule>
  </conditionalFormatting>
  <conditionalFormatting sqref="L44:L45">
    <cfRule type="cellIs" dxfId="66" priority="194" operator="equal">
      <formula>"Catastrófico"</formula>
    </cfRule>
    <cfRule type="cellIs" dxfId="65" priority="195" operator="equal">
      <formula>"Mayor"</formula>
    </cfRule>
    <cfRule type="cellIs" dxfId="64" priority="196" operator="equal">
      <formula>"Moderado"</formula>
    </cfRule>
    <cfRule type="cellIs" dxfId="63" priority="197" operator="equal">
      <formula>"Menor"</formula>
    </cfRule>
    <cfRule type="cellIs" dxfId="62" priority="198" operator="equal">
      <formula>"Leve"</formula>
    </cfRule>
  </conditionalFormatting>
  <conditionalFormatting sqref="N16">
    <cfRule type="cellIs" dxfId="61" priority="122" operator="equal">
      <formula>"Bajo"</formula>
    </cfRule>
    <cfRule type="cellIs" dxfId="60" priority="120" operator="equal">
      <formula>"Alto"</formula>
    </cfRule>
    <cfRule type="cellIs" dxfId="59" priority="121" operator="equal">
      <formula>"Moderado"</formula>
    </cfRule>
    <cfRule type="cellIs" dxfId="58" priority="119" operator="equal">
      <formula>"Extremo"</formula>
    </cfRule>
  </conditionalFormatting>
  <conditionalFormatting sqref="N19:N21">
    <cfRule type="cellIs" dxfId="57" priority="18" operator="equal">
      <formula>"Alto"</formula>
    </cfRule>
    <cfRule type="cellIs" dxfId="56" priority="19" operator="equal">
      <formula>"Moderado"</formula>
    </cfRule>
    <cfRule type="cellIs" dxfId="55" priority="20" operator="equal">
      <formula>"Bajo"</formula>
    </cfRule>
    <cfRule type="cellIs" dxfId="54" priority="17" operator="equal">
      <formula>"Extremo"</formula>
    </cfRule>
  </conditionalFormatting>
  <conditionalFormatting sqref="N24:N26">
    <cfRule type="cellIs" dxfId="53" priority="13" operator="equal">
      <formula>"Extremo"</formula>
    </cfRule>
    <cfRule type="cellIs" dxfId="52" priority="14" operator="equal">
      <formula>"Alto"</formula>
    </cfRule>
    <cfRule type="cellIs" dxfId="51" priority="16" operator="equal">
      <formula>"Bajo"</formula>
    </cfRule>
    <cfRule type="cellIs" dxfId="50" priority="15" operator="equal">
      <formula>"Moderado"</formula>
    </cfRule>
  </conditionalFormatting>
  <conditionalFormatting sqref="N29:N31">
    <cfRule type="cellIs" dxfId="49" priority="12" operator="equal">
      <formula>"Bajo"</formula>
    </cfRule>
    <cfRule type="cellIs" dxfId="48" priority="11" operator="equal">
      <formula>"Moderado"</formula>
    </cfRule>
    <cfRule type="cellIs" dxfId="47" priority="10" operator="equal">
      <formula>"Alto"</formula>
    </cfRule>
    <cfRule type="cellIs" dxfId="46" priority="9" operator="equal">
      <formula>"Extremo"</formula>
    </cfRule>
  </conditionalFormatting>
  <conditionalFormatting sqref="N34:N36">
    <cfRule type="cellIs" dxfId="45" priority="7" operator="equal">
      <formula>"Moderado"</formula>
    </cfRule>
    <cfRule type="cellIs" dxfId="44" priority="8" operator="equal">
      <formula>"Bajo"</formula>
    </cfRule>
    <cfRule type="cellIs" dxfId="43" priority="6" operator="equal">
      <formula>"Alto"</formula>
    </cfRule>
    <cfRule type="cellIs" dxfId="42" priority="5" operator="equal">
      <formula>"Extremo"</formula>
    </cfRule>
  </conditionalFormatting>
  <conditionalFormatting sqref="N39:N41">
    <cfRule type="cellIs" dxfId="41" priority="4" operator="equal">
      <formula>"Bajo"</formula>
    </cfRule>
    <cfRule type="cellIs" dxfId="40" priority="3" operator="equal">
      <formula>"Moderado"</formula>
    </cfRule>
    <cfRule type="cellIs" dxfId="39" priority="2" operator="equal">
      <formula>"Alto"</formula>
    </cfRule>
    <cfRule type="cellIs" dxfId="38" priority="1" operator="equal">
      <formula>"Extremo"</formula>
    </cfRule>
  </conditionalFormatting>
  <conditionalFormatting sqref="N44:N45">
    <cfRule type="cellIs" dxfId="37" priority="202" operator="equal">
      <formula>"Bajo"</formula>
    </cfRule>
    <cfRule type="cellIs" dxfId="36" priority="201" operator="equal">
      <formula>"Moderado"</formula>
    </cfRule>
    <cfRule type="cellIs" dxfId="35" priority="200" operator="equal">
      <formula>"Alto"</formula>
    </cfRule>
    <cfRule type="cellIs" dxfId="34" priority="199" operator="equal">
      <formula>"Extremo"</formula>
    </cfRule>
  </conditionalFormatting>
  <conditionalFormatting sqref="Y16:Y45">
    <cfRule type="cellIs" dxfId="33" priority="90" operator="equal">
      <formula>"Alta"</formula>
    </cfRule>
    <cfRule type="cellIs" dxfId="32" priority="91" operator="equal">
      <formula>"Media"</formula>
    </cfRule>
    <cfRule type="cellIs" dxfId="31" priority="92" operator="equal">
      <formula>"Baja"</formula>
    </cfRule>
    <cfRule type="cellIs" dxfId="30" priority="93" operator="equal">
      <formula>"Muy Baja"</formula>
    </cfRule>
    <cfRule type="cellIs" dxfId="29" priority="89" operator="equal">
      <formula>"Muy Alta"</formula>
    </cfRule>
  </conditionalFormatting>
  <conditionalFormatting sqref="AA16:AA45">
    <cfRule type="cellIs" dxfId="28" priority="79" operator="equal">
      <formula>"Catastrófico"</formula>
    </cfRule>
    <cfRule type="cellIs" dxfId="27" priority="80" operator="equal">
      <formula>"Mayor"</formula>
    </cfRule>
    <cfRule type="cellIs" dxfId="26" priority="81" operator="equal">
      <formula>"Moderado"</formula>
    </cfRule>
    <cfRule type="cellIs" dxfId="25" priority="82" operator="equal">
      <formula>"Menor"</formula>
    </cfRule>
    <cfRule type="cellIs" dxfId="24" priority="83" operator="equal">
      <formula>"Leve"</formula>
    </cfRule>
  </conditionalFormatting>
  <conditionalFormatting sqref="AC16:AC45">
    <cfRule type="cellIs" dxfId="23" priority="74" operator="equal">
      <formula>"Bajo"</formula>
    </cfRule>
    <cfRule type="cellIs" dxfId="22" priority="73" operator="equal">
      <formula>"Moderado"</formula>
    </cfRule>
    <cfRule type="cellIs" dxfId="21" priority="72" operator="equal">
      <formula>"Alto"</formula>
    </cfRule>
    <cfRule type="cellIs" dxfId="20" priority="71" operator="equal">
      <formula>"Extremo"</formula>
    </cfRule>
  </conditionalFormatting>
  <conditionalFormatting sqref="AD10:AD11 AD13:AD14 AD16:AD17 AD21:AD22">
    <cfRule type="cellIs" dxfId="19" priority="414" operator="equal">
      <formula>"Bajo"</formula>
    </cfRule>
    <cfRule type="cellIs" dxfId="18" priority="411" operator="equal">
      <formula>"Extremo"</formula>
    </cfRule>
    <cfRule type="cellIs" dxfId="17" priority="412" operator="equal">
      <formula>"Alto"</formula>
    </cfRule>
    <cfRule type="cellIs" dxfId="16" priority="413" operator="equal">
      <formula>"Moderado"</formula>
    </cfRule>
  </conditionalFormatting>
  <conditionalFormatting sqref="AD26:AD27">
    <cfRule type="cellIs" dxfId="15" priority="360" operator="equal">
      <formula>"Alto"</formula>
    </cfRule>
    <cfRule type="cellIs" dxfId="14" priority="359" operator="equal">
      <formula>"Extremo"</formula>
    </cfRule>
    <cfRule type="cellIs" dxfId="13" priority="361" operator="equal">
      <formula>"Moderado"</formula>
    </cfRule>
    <cfRule type="cellIs" dxfId="12" priority="362" operator="equal">
      <formula>"Bajo"</formula>
    </cfRule>
  </conditionalFormatting>
  <conditionalFormatting sqref="AD31:AD32">
    <cfRule type="cellIs" dxfId="11" priority="347" operator="equal">
      <formula>"Extremo"</formula>
    </cfRule>
    <cfRule type="cellIs" dxfId="10" priority="348" operator="equal">
      <formula>"Alto"</formula>
    </cfRule>
    <cfRule type="cellIs" dxfId="9" priority="349" operator="equal">
      <formula>"Moderado"</formula>
    </cfRule>
    <cfRule type="cellIs" dxfId="8" priority="350" operator="equal">
      <formula>"Bajo"</formula>
    </cfRule>
  </conditionalFormatting>
  <conditionalFormatting sqref="AD36:AD37">
    <cfRule type="cellIs" dxfId="7" priority="355" operator="equal">
      <formula>"Extremo"</formula>
    </cfRule>
    <cfRule type="cellIs" dxfId="6" priority="356" operator="equal">
      <formula>"Alto"</formula>
    </cfRule>
    <cfRule type="cellIs" dxfId="5" priority="357" operator="equal">
      <formula>"Moderado"</formula>
    </cfRule>
    <cfRule type="cellIs" dxfId="4" priority="358" operator="equal">
      <formula>"Bajo"</formula>
    </cfRule>
  </conditionalFormatting>
  <conditionalFormatting sqref="AD41:AD42">
    <cfRule type="cellIs" dxfId="3" priority="351" operator="equal">
      <formula>"Extremo"</formula>
    </cfRule>
    <cfRule type="cellIs" dxfId="2" priority="352" operator="equal">
      <formula>"Alto"</formula>
    </cfRule>
    <cfRule type="cellIs" dxfId="1" priority="353" operator="equal">
      <formula>"Moderado"</formula>
    </cfRule>
    <cfRule type="cellIs" dxfId="0" priority="354" operator="equal">
      <formula>"Bajo"</formula>
    </cfRule>
  </conditionalFormatting>
  <dataValidations count="4">
    <dataValidation allowBlank="1" showInputMessage="1" showErrorMessage="1" promptTitle="NOMBRE DEL PROCESO/SUBPROCESO" prompt="Debe colocar el nombre del proceso/subproceso, de acuerdo al modelo de operación por procesos de la Administración Municipal de Pasto (Mapa de Procesos)" sqref="C10:N10" xr:uid="{00000000-0002-0000-0000-000000000000}"/>
    <dataValidation allowBlank="1" showInputMessage="1" showErrorMessage="1" promptTitle="OBJETIVO DEL PROCESO/SUBPROCESO" prompt="Debe colocar el objetivo del proceso/subproceso de acuerdo a la caracterización del proceso" sqref="C11:N11" xr:uid="{00000000-0002-0000-0000-000001000000}"/>
    <dataValidation allowBlank="1" showInputMessage="1" showErrorMessage="1" promptTitle="ALCANCE DEL PROCESO/SUBPROCESO" prompt="Debe colocar el alcance del proceso/subproceso, de acuerdo a la caracterización del mismo Incluyendo LIMITE y APLICABILIDAD" sqref="C12:N12" xr:uid="{00000000-0002-0000-0000-000002000000}"/>
    <dataValidation allowBlank="1" showInputMessage="1" showErrorMessage="1" promptTitle="Descripción de controles" prompt="Debe existir un control por cada causa._x000a__x000a_Debe tener_x000a_Responsable de ejecutar el control_x000a_Como que ejecuta el control_x000a_Tiempo que ejecuta el control_x000a_Evidencias de la ejecución del control" sqref="P16:P20 P22:P44" xr:uid="{00000000-0002-0000-0000-000003000000}"/>
  </dataValidations>
  <pageMargins left="0.7" right="0.7" top="0.75" bottom="0.75" header="0" footer="0"/>
  <pageSetup orientation="portrait" r:id="rId1"/>
  <ignoredErrors>
    <ignoredError sqref="N5" numberStoredAsText="1"/>
  </ignoredErrors>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000-000004000000}">
          <x14:formula1>
            <xm:f>'Opciones Tratamiento'!$E$2:$E$4</xm:f>
          </x14:formula1>
          <xm:sqref>B19:B21 B16 B44:B45 B24:B26 B29:B31 B34:B36 B39:B41</xm:sqref>
        </x14:dataValidation>
        <x14:dataValidation type="list" allowBlank="1" showErrorMessage="1" xr:uid="{00000000-0002-0000-0000-000005000000}">
          <x14:formula1>
            <xm:f>'Tabla Impacto'!$F$210:$F$221</xm:f>
          </x14:formula1>
          <xm:sqref>J44:J45 J16 J19:J21 J24:J26 J29:J31 J34:J36 J39:J41</xm:sqref>
        </x14:dataValidation>
        <x14:dataValidation type="list" allowBlank="1" showErrorMessage="1" xr:uid="{00000000-0002-0000-0000-000006000000}">
          <x14:formula1>
            <xm:f>'Opciones Tratamiento'!$B$9:$B$10</xm:f>
          </x14:formula1>
          <xm:sqref>AK16:AK45</xm:sqref>
        </x14:dataValidation>
        <x14:dataValidation type="list" allowBlank="1" showErrorMessage="1" xr:uid="{00000000-0002-0000-0000-000007000000}">
          <x14:formula1>
            <xm:f>'Opciones Tratamiento'!$B$13:$B$19</xm:f>
          </x14:formula1>
          <xm:sqref>F19:F21 F16 F44:F45 F24:F26 F29:F31 F34:F36 F39:F41</xm:sqref>
        </x14:dataValidation>
        <x14:dataValidation type="list" allowBlank="1" showErrorMessage="1" xr:uid="{00000000-0002-0000-0000-000008000000}">
          <x14:formula1>
            <xm:f>'Tabla Valoración controles'!$D$9:$D$10</xm:f>
          </x14:formula1>
          <xm:sqref>U16:U45</xm:sqref>
        </x14:dataValidation>
        <x14:dataValidation type="list" allowBlank="1" showErrorMessage="1" xr:uid="{00000000-0002-0000-0000-000009000000}">
          <x14:formula1>
            <xm:f>'Tabla Valoración controles'!$D$11:$D$12</xm:f>
          </x14:formula1>
          <xm:sqref>V16:V45</xm:sqref>
        </x14:dataValidation>
        <x14:dataValidation type="list" allowBlank="1" showErrorMessage="1" xr:uid="{00000000-0002-0000-0000-00000A000000}">
          <x14:formula1>
            <xm:f>'Tabla Valoración controles'!$D$13:$D$14</xm:f>
          </x14:formula1>
          <xm:sqref>W16:W45</xm:sqref>
        </x14:dataValidation>
        <x14:dataValidation type="list" allowBlank="1" showErrorMessage="1" xr:uid="{00000000-0002-0000-0000-00000B000000}">
          <x14:formula1>
            <xm:f>'Tabla Valoración controles'!$D$7:$D$8</xm:f>
          </x14:formula1>
          <xm:sqref>S16:S45</xm:sqref>
        </x14:dataValidation>
        <x14:dataValidation type="list" allowBlank="1" showErrorMessage="1" xr:uid="{00000000-0002-0000-0000-00000C000000}">
          <x14:formula1>
            <xm:f>'Tabla Valoración controles'!$D$4:$D$6</xm:f>
          </x14:formula1>
          <xm:sqref>R16:R45</xm:sqref>
        </x14:dataValidation>
        <x14:dataValidation type="list" allowBlank="1" showErrorMessage="1" xr:uid="{00000000-0002-0000-0000-00000D000000}">
          <x14:formula1>
            <xm:f>'Opciones Tratamiento'!$B$2:$B$5</xm:f>
          </x14:formula1>
          <xm:sqref>AE16 AE19:AE21 AE24:AE26 AE29:AE31 AE34:AE36 AE39:AE41 AE44:AE45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4"/>
  <sheetViews>
    <sheetView workbookViewId="0">
      <selection activeCell="E36" sqref="E36:F36"/>
    </sheetView>
  </sheetViews>
  <sheetFormatPr baseColWidth="10" defaultColWidth="12.58203125" defaultRowHeight="15" customHeight="1" x14ac:dyDescent="0.3"/>
  <cols>
    <col min="1" max="1" width="2.5" customWidth="1"/>
    <col min="2" max="3" width="21.58203125" customWidth="1"/>
    <col min="4" max="4" width="14" customWidth="1"/>
    <col min="5" max="5" width="21.58203125" customWidth="1"/>
    <col min="6" max="6" width="24.25" customWidth="1"/>
    <col min="7" max="8" width="21.58203125" customWidth="1"/>
    <col min="9" max="26" width="10" customWidth="1"/>
  </cols>
  <sheetData>
    <row r="2" spans="2:8" ht="14" x14ac:dyDescent="0.3">
      <c r="B2" s="214" t="s">
        <v>0</v>
      </c>
      <c r="C2" s="215"/>
      <c r="D2" s="215"/>
      <c r="E2" s="215"/>
      <c r="F2" s="215"/>
      <c r="G2" s="215"/>
      <c r="H2" s="216"/>
    </row>
    <row r="3" spans="2:8" ht="14" x14ac:dyDescent="0.3">
      <c r="B3" s="2"/>
      <c r="C3" s="3"/>
      <c r="D3" s="3"/>
      <c r="E3" s="3"/>
      <c r="F3" s="3"/>
      <c r="G3" s="3"/>
      <c r="H3" s="4"/>
    </row>
    <row r="4" spans="2:8" ht="63" customHeight="1" x14ac:dyDescent="0.3">
      <c r="B4" s="217" t="s">
        <v>1</v>
      </c>
      <c r="C4" s="218"/>
      <c r="D4" s="218"/>
      <c r="E4" s="218"/>
      <c r="F4" s="218"/>
      <c r="G4" s="218"/>
      <c r="H4" s="219"/>
    </row>
    <row r="5" spans="2:8" ht="63" customHeight="1" x14ac:dyDescent="0.3">
      <c r="B5" s="220"/>
      <c r="C5" s="221"/>
      <c r="D5" s="221"/>
      <c r="E5" s="221"/>
      <c r="F5" s="221"/>
      <c r="G5" s="221"/>
      <c r="H5" s="222"/>
    </row>
    <row r="6" spans="2:8" ht="14" x14ac:dyDescent="0.3">
      <c r="B6" s="223" t="s">
        <v>2</v>
      </c>
      <c r="C6" s="224"/>
      <c r="D6" s="224"/>
      <c r="E6" s="224"/>
      <c r="F6" s="224"/>
      <c r="G6" s="224"/>
      <c r="H6" s="225"/>
    </row>
    <row r="7" spans="2:8" ht="95.25" customHeight="1" x14ac:dyDescent="0.3">
      <c r="B7" s="226" t="s">
        <v>3</v>
      </c>
      <c r="C7" s="227"/>
      <c r="D7" s="227"/>
      <c r="E7" s="227"/>
      <c r="F7" s="227"/>
      <c r="G7" s="227"/>
      <c r="H7" s="228"/>
    </row>
    <row r="8" spans="2:8" ht="14" x14ac:dyDescent="0.3">
      <c r="B8" s="5"/>
      <c r="C8" s="6"/>
      <c r="D8" s="6"/>
      <c r="E8" s="6"/>
      <c r="F8" s="6"/>
      <c r="G8" s="6"/>
      <c r="H8" s="7"/>
    </row>
    <row r="9" spans="2:8" ht="16.5" customHeight="1" x14ac:dyDescent="0.3">
      <c r="B9" s="229" t="s">
        <v>4</v>
      </c>
      <c r="C9" s="218"/>
      <c r="D9" s="218"/>
      <c r="E9" s="218"/>
      <c r="F9" s="218"/>
      <c r="G9" s="218"/>
      <c r="H9" s="219"/>
    </row>
    <row r="10" spans="2:8" ht="44.25" customHeight="1" x14ac:dyDescent="0.3">
      <c r="B10" s="230"/>
      <c r="C10" s="218"/>
      <c r="D10" s="218"/>
      <c r="E10" s="218"/>
      <c r="F10" s="218"/>
      <c r="G10" s="218"/>
      <c r="H10" s="219"/>
    </row>
    <row r="11" spans="2:8" ht="14" x14ac:dyDescent="0.3">
      <c r="B11" s="8"/>
      <c r="C11" s="9"/>
      <c r="D11" s="10"/>
      <c r="E11" s="11"/>
      <c r="F11" s="11"/>
      <c r="G11" s="11"/>
      <c r="H11" s="12"/>
    </row>
    <row r="12" spans="2:8" ht="14" x14ac:dyDescent="0.3">
      <c r="B12" s="8"/>
      <c r="C12" s="210" t="s">
        <v>5</v>
      </c>
      <c r="D12" s="211"/>
      <c r="E12" s="212" t="s">
        <v>6</v>
      </c>
      <c r="F12" s="213"/>
      <c r="G12" s="9"/>
      <c r="H12" s="12"/>
    </row>
    <row r="13" spans="2:8" ht="35.25" customHeight="1" x14ac:dyDescent="0.3">
      <c r="B13" s="8"/>
      <c r="C13" s="206" t="s">
        <v>7</v>
      </c>
      <c r="D13" s="207"/>
      <c r="E13" s="208" t="s">
        <v>8</v>
      </c>
      <c r="F13" s="209"/>
      <c r="G13" s="9"/>
      <c r="H13" s="12"/>
    </row>
    <row r="14" spans="2:8" ht="17.25" customHeight="1" x14ac:dyDescent="0.3">
      <c r="B14" s="8"/>
      <c r="C14" s="206" t="s">
        <v>9</v>
      </c>
      <c r="D14" s="207"/>
      <c r="E14" s="208" t="s">
        <v>10</v>
      </c>
      <c r="F14" s="209"/>
      <c r="G14" s="9"/>
      <c r="H14" s="12"/>
    </row>
    <row r="15" spans="2:8" ht="19.5" customHeight="1" x14ac:dyDescent="0.3">
      <c r="B15" s="8"/>
      <c r="C15" s="206" t="s">
        <v>11</v>
      </c>
      <c r="D15" s="207"/>
      <c r="E15" s="208" t="s">
        <v>12</v>
      </c>
      <c r="F15" s="209"/>
      <c r="G15" s="9"/>
      <c r="H15" s="12"/>
    </row>
    <row r="16" spans="2:8" ht="69.75" customHeight="1" x14ac:dyDescent="0.3">
      <c r="B16" s="8"/>
      <c r="C16" s="206" t="s">
        <v>13</v>
      </c>
      <c r="D16" s="207"/>
      <c r="E16" s="208" t="s">
        <v>14</v>
      </c>
      <c r="F16" s="209"/>
      <c r="G16" s="9"/>
      <c r="H16" s="12"/>
    </row>
    <row r="17" spans="3:6" ht="34.5" customHeight="1" x14ac:dyDescent="0.3">
      <c r="C17" s="202" t="s">
        <v>15</v>
      </c>
      <c r="D17" s="203"/>
      <c r="E17" s="198" t="s">
        <v>16</v>
      </c>
      <c r="F17" s="199"/>
    </row>
    <row r="18" spans="3:6" ht="27.75" customHeight="1" x14ac:dyDescent="0.3">
      <c r="C18" s="202" t="s">
        <v>17</v>
      </c>
      <c r="D18" s="203"/>
      <c r="E18" s="198" t="s">
        <v>18</v>
      </c>
      <c r="F18" s="199"/>
    </row>
    <row r="19" spans="3:6" ht="28.5" customHeight="1" x14ac:dyDescent="0.3">
      <c r="C19" s="202" t="s">
        <v>19</v>
      </c>
      <c r="D19" s="203"/>
      <c r="E19" s="198" t="s">
        <v>20</v>
      </c>
      <c r="F19" s="199"/>
    </row>
    <row r="20" spans="3:6" ht="72.75" customHeight="1" x14ac:dyDescent="0.3">
      <c r="C20" s="202" t="s">
        <v>21</v>
      </c>
      <c r="D20" s="203"/>
      <c r="E20" s="198" t="s">
        <v>22</v>
      </c>
      <c r="F20" s="199"/>
    </row>
    <row r="21" spans="3:6" ht="64.5" customHeight="1" x14ac:dyDescent="0.3">
      <c r="C21" s="202" t="s">
        <v>23</v>
      </c>
      <c r="D21" s="203"/>
      <c r="E21" s="198" t="s">
        <v>24</v>
      </c>
      <c r="F21" s="199"/>
    </row>
    <row r="22" spans="3:6" ht="71.25" customHeight="1" x14ac:dyDescent="0.3">
      <c r="C22" s="202" t="s">
        <v>25</v>
      </c>
      <c r="D22" s="203"/>
      <c r="E22" s="198" t="s">
        <v>26</v>
      </c>
      <c r="F22" s="199"/>
    </row>
    <row r="23" spans="3:6" ht="55.5" customHeight="1" x14ac:dyDescent="0.3">
      <c r="C23" s="202" t="s">
        <v>27</v>
      </c>
      <c r="D23" s="203"/>
      <c r="E23" s="198" t="s">
        <v>28</v>
      </c>
      <c r="F23" s="199"/>
    </row>
    <row r="24" spans="3:6" ht="42" customHeight="1" x14ac:dyDescent="0.3">
      <c r="C24" s="202" t="s">
        <v>29</v>
      </c>
      <c r="D24" s="203"/>
      <c r="E24" s="198" t="s">
        <v>30</v>
      </c>
      <c r="F24" s="199"/>
    </row>
    <row r="25" spans="3:6" ht="59.25" customHeight="1" x14ac:dyDescent="0.3">
      <c r="C25" s="202" t="s">
        <v>31</v>
      </c>
      <c r="D25" s="203"/>
      <c r="E25" s="198" t="s">
        <v>32</v>
      </c>
      <c r="F25" s="199"/>
    </row>
    <row r="26" spans="3:6" ht="23.25" customHeight="1" x14ac:dyDescent="0.3">
      <c r="C26" s="202" t="s">
        <v>33</v>
      </c>
      <c r="D26" s="203"/>
      <c r="E26" s="198" t="s">
        <v>34</v>
      </c>
      <c r="F26" s="199"/>
    </row>
    <row r="27" spans="3:6" ht="30.75" customHeight="1" x14ac:dyDescent="0.3">
      <c r="C27" s="202" t="s">
        <v>35</v>
      </c>
      <c r="D27" s="203"/>
      <c r="E27" s="198" t="s">
        <v>36</v>
      </c>
      <c r="F27" s="199"/>
    </row>
    <row r="28" spans="3:6" ht="35.25" customHeight="1" x14ac:dyDescent="0.3">
      <c r="C28" s="202" t="s">
        <v>37</v>
      </c>
      <c r="D28" s="203"/>
      <c r="E28" s="198" t="s">
        <v>38</v>
      </c>
      <c r="F28" s="199"/>
    </row>
    <row r="29" spans="3:6" ht="33" customHeight="1" x14ac:dyDescent="0.3">
      <c r="C29" s="202" t="s">
        <v>39</v>
      </c>
      <c r="D29" s="203"/>
      <c r="E29" s="198" t="s">
        <v>38</v>
      </c>
      <c r="F29" s="199"/>
    </row>
    <row r="30" spans="3:6" ht="30" customHeight="1" x14ac:dyDescent="0.3">
      <c r="C30" s="202" t="s">
        <v>40</v>
      </c>
      <c r="D30" s="203"/>
      <c r="E30" s="198" t="s">
        <v>41</v>
      </c>
      <c r="F30" s="199"/>
    </row>
    <row r="31" spans="3:6" ht="35.25" customHeight="1" x14ac:dyDescent="0.3">
      <c r="C31" s="202" t="s">
        <v>42</v>
      </c>
      <c r="D31" s="203"/>
      <c r="E31" s="198" t="s">
        <v>43</v>
      </c>
      <c r="F31" s="199"/>
    </row>
    <row r="32" spans="3:6" ht="31.5" customHeight="1" x14ac:dyDescent="0.3">
      <c r="C32" s="202" t="s">
        <v>44</v>
      </c>
      <c r="D32" s="203"/>
      <c r="E32" s="198" t="s">
        <v>45</v>
      </c>
      <c r="F32" s="199"/>
    </row>
    <row r="33" spans="2:8" ht="35.25" customHeight="1" x14ac:dyDescent="0.3">
      <c r="B33" s="8"/>
      <c r="C33" s="202" t="s">
        <v>46</v>
      </c>
      <c r="D33" s="203"/>
      <c r="E33" s="198" t="s">
        <v>47</v>
      </c>
      <c r="F33" s="199"/>
      <c r="G33" s="9"/>
      <c r="H33" s="12"/>
    </row>
    <row r="34" spans="2:8" ht="59.25" customHeight="1" x14ac:dyDescent="0.3">
      <c r="B34" s="8"/>
      <c r="C34" s="202" t="s">
        <v>48</v>
      </c>
      <c r="D34" s="203"/>
      <c r="E34" s="198" t="s">
        <v>49</v>
      </c>
      <c r="F34" s="199"/>
      <c r="G34" s="9"/>
      <c r="H34" s="12"/>
    </row>
    <row r="35" spans="2:8" ht="29.25" customHeight="1" x14ac:dyDescent="0.3">
      <c r="B35" s="8"/>
      <c r="C35" s="202" t="s">
        <v>50</v>
      </c>
      <c r="D35" s="203"/>
      <c r="E35" s="198" t="s">
        <v>51</v>
      </c>
      <c r="F35" s="199"/>
      <c r="G35" s="9"/>
      <c r="H35" s="12"/>
    </row>
    <row r="36" spans="2:8" ht="82.5" customHeight="1" x14ac:dyDescent="0.3">
      <c r="B36" s="8"/>
      <c r="C36" s="202" t="s">
        <v>52</v>
      </c>
      <c r="D36" s="203"/>
      <c r="E36" s="198" t="s">
        <v>53</v>
      </c>
      <c r="F36" s="199"/>
      <c r="G36" s="9"/>
      <c r="H36" s="12"/>
    </row>
    <row r="37" spans="2:8" ht="46.5" customHeight="1" x14ac:dyDescent="0.3">
      <c r="B37" s="8"/>
      <c r="C37" s="202" t="s">
        <v>54</v>
      </c>
      <c r="D37" s="203"/>
      <c r="E37" s="198" t="s">
        <v>55</v>
      </c>
      <c r="F37" s="199"/>
      <c r="G37" s="9"/>
      <c r="H37" s="12"/>
    </row>
    <row r="38" spans="2:8" ht="6.75" customHeight="1" x14ac:dyDescent="0.3">
      <c r="B38" s="8"/>
      <c r="C38" s="204"/>
      <c r="D38" s="205"/>
      <c r="E38" s="200"/>
      <c r="F38" s="201"/>
      <c r="G38" s="9"/>
      <c r="H38" s="12"/>
    </row>
    <row r="39" spans="2:8" ht="15.75" customHeight="1" x14ac:dyDescent="0.3">
      <c r="B39" s="8"/>
      <c r="C39" s="13"/>
      <c r="D39" s="13"/>
      <c r="E39" s="14"/>
      <c r="F39" s="14"/>
      <c r="G39" s="9"/>
      <c r="H39" s="12"/>
    </row>
    <row r="40" spans="2:8" ht="21" customHeight="1" x14ac:dyDescent="0.3">
      <c r="B40" s="195" t="s">
        <v>56</v>
      </c>
      <c r="C40" s="196"/>
      <c r="D40" s="196"/>
      <c r="E40" s="196"/>
      <c r="F40" s="196"/>
      <c r="G40" s="196"/>
      <c r="H40" s="197"/>
    </row>
    <row r="41" spans="2:8" ht="20.25" customHeight="1" x14ac:dyDescent="0.3">
      <c r="B41" s="195" t="s">
        <v>57</v>
      </c>
      <c r="C41" s="196"/>
      <c r="D41" s="196"/>
      <c r="E41" s="196"/>
      <c r="F41" s="196"/>
      <c r="G41" s="196"/>
      <c r="H41" s="197"/>
    </row>
    <row r="42" spans="2:8" ht="20.25" customHeight="1" x14ac:dyDescent="0.3">
      <c r="B42" s="195" t="s">
        <v>58</v>
      </c>
      <c r="C42" s="196"/>
      <c r="D42" s="196"/>
      <c r="E42" s="196"/>
      <c r="F42" s="196"/>
      <c r="G42" s="196"/>
      <c r="H42" s="197"/>
    </row>
    <row r="43" spans="2:8" ht="20.25" customHeight="1" x14ac:dyDescent="0.3">
      <c r="B43" s="195" t="s">
        <v>59</v>
      </c>
      <c r="C43" s="196"/>
      <c r="D43" s="196"/>
      <c r="E43" s="196"/>
      <c r="F43" s="196"/>
      <c r="G43" s="196"/>
      <c r="H43" s="197"/>
    </row>
    <row r="44" spans="2:8" ht="15.75" customHeight="1" x14ac:dyDescent="0.3">
      <c r="B44" s="195" t="s">
        <v>60</v>
      </c>
      <c r="C44" s="196"/>
      <c r="D44" s="196"/>
      <c r="E44" s="196"/>
      <c r="F44" s="196"/>
      <c r="G44" s="196"/>
      <c r="H44" s="197"/>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T51"/>
  <sheetViews>
    <sheetView zoomScale="40" zoomScaleNormal="40" workbookViewId="0">
      <selection activeCell="V22" sqref="V22:W23"/>
    </sheetView>
  </sheetViews>
  <sheetFormatPr baseColWidth="10" defaultColWidth="12.58203125" defaultRowHeight="15" customHeight="1" x14ac:dyDescent="0.3"/>
  <cols>
    <col min="1" max="1" width="9.33203125" customWidth="1"/>
    <col min="2" max="39" width="5" customWidth="1"/>
    <col min="40" max="40" width="9.33203125" customWidth="1"/>
    <col min="41" max="46" width="5" customWidth="1"/>
    <col min="47" max="61" width="9.33203125" customWidth="1"/>
  </cols>
  <sheetData>
    <row r="2" spans="2:46" ht="18" customHeight="1" x14ac:dyDescent="0.35">
      <c r="B2" s="260" t="s">
        <v>93</v>
      </c>
      <c r="C2" s="218"/>
      <c r="D2" s="218"/>
      <c r="E2" s="218"/>
      <c r="F2" s="218"/>
      <c r="G2" s="218"/>
      <c r="H2" s="218"/>
      <c r="I2" s="218"/>
      <c r="J2" s="261" t="s">
        <v>15</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44"/>
      <c r="AN2" s="1"/>
      <c r="AO2" s="1"/>
      <c r="AP2" s="1"/>
      <c r="AQ2" s="1"/>
      <c r="AR2" s="1"/>
      <c r="AS2" s="1"/>
      <c r="AT2" s="1"/>
    </row>
    <row r="3" spans="2:46" ht="18.75" customHeight="1" x14ac:dyDescent="0.35">
      <c r="B3" s="218"/>
      <c r="C3" s="218"/>
      <c r="D3" s="218"/>
      <c r="E3" s="218"/>
      <c r="F3" s="218"/>
      <c r="G3" s="218"/>
      <c r="H3" s="218"/>
      <c r="I3" s="218"/>
      <c r="J3" s="263"/>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64"/>
      <c r="AN3" s="1"/>
      <c r="AO3" s="1"/>
      <c r="AP3" s="1"/>
      <c r="AQ3" s="1"/>
      <c r="AR3" s="1"/>
      <c r="AS3" s="1"/>
      <c r="AT3" s="1"/>
    </row>
    <row r="4" spans="2:46" ht="15" customHeight="1" x14ac:dyDescent="0.35">
      <c r="B4" s="218"/>
      <c r="C4" s="218"/>
      <c r="D4" s="218"/>
      <c r="E4" s="218"/>
      <c r="F4" s="218"/>
      <c r="G4" s="218"/>
      <c r="H4" s="218"/>
      <c r="I4" s="218"/>
      <c r="J4" s="233"/>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37"/>
      <c r="AN4" s="1"/>
      <c r="AO4" s="1"/>
      <c r="AP4" s="1"/>
      <c r="AQ4" s="1"/>
      <c r="AR4" s="1"/>
      <c r="AS4" s="1"/>
      <c r="AT4" s="1"/>
    </row>
    <row r="5" spans="2:46" ht="14.5"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3">
      <c r="B6" s="266" t="s">
        <v>94</v>
      </c>
      <c r="C6" s="262"/>
      <c r="D6" s="232"/>
      <c r="E6" s="251" t="s">
        <v>95</v>
      </c>
      <c r="F6" s="252"/>
      <c r="G6" s="252"/>
      <c r="H6" s="252"/>
      <c r="I6" s="238"/>
      <c r="J6" s="239" t="str">
        <f>IF(AND('Mapa final'!$H$16="Muy Alta",'Mapa final'!$L$16="Leve"),CONCATENATE("R",'Mapa final'!$A$16),"")</f>
        <v/>
      </c>
      <c r="K6" s="236"/>
      <c r="L6" s="241" t="str">
        <f>IF(AND('Mapa final'!$H$21="Muy Alta",'Mapa final'!$L$21="Leve"),CONCATENATE("R",'Mapa final'!$A$21),"")</f>
        <v/>
      </c>
      <c r="M6" s="236"/>
      <c r="N6" s="241" t="str">
        <f>IF(AND('Mapa final'!$H$26="Muy Alta",'Mapa final'!$L$26="Leve"),CONCATENATE("R",'Mapa final'!$A$26),"")</f>
        <v/>
      </c>
      <c r="O6" s="238"/>
      <c r="P6" s="239" t="str">
        <f>IF(AND('Mapa final'!$H$16="Muy Alta",'Mapa final'!$L$16="Menor"),CONCATENATE("R",'Mapa final'!$A$16),"")</f>
        <v/>
      </c>
      <c r="Q6" s="236"/>
      <c r="R6" s="241" t="str">
        <f>IF(AND('Mapa final'!$H$21="Muy Alta",'Mapa final'!$L$21="Menor"),CONCATENATE("R",'Mapa final'!$A$21),"")</f>
        <v/>
      </c>
      <c r="S6" s="236"/>
      <c r="T6" s="241" t="str">
        <f>IF(AND('Mapa final'!$H$26="Muy Alta",'Mapa final'!$L$26="Menor"),CONCATENATE("R",'Mapa final'!$A$26),"")</f>
        <v/>
      </c>
      <c r="U6" s="238"/>
      <c r="V6" s="239" t="str">
        <f>IF(AND('Mapa final'!$H$16="Muy Alta",'Mapa final'!$L$16="Moderado"),CONCATENATE("R",'Mapa final'!$A$16),"")</f>
        <v/>
      </c>
      <c r="W6" s="236"/>
      <c r="X6" s="241" t="str">
        <f>IF(AND('Mapa final'!$H$21="Muy Alta",'Mapa final'!$L$21="Moderado"),CONCATENATE("R",'Mapa final'!$A$21),"")</f>
        <v/>
      </c>
      <c r="Y6" s="236"/>
      <c r="Z6" s="241" t="str">
        <f>IF(AND('Mapa final'!$H$26="Muy Alta",'Mapa final'!$L$26="Moderado"),CONCATENATE("R",'Mapa final'!$A$26),"")</f>
        <v/>
      </c>
      <c r="AA6" s="238"/>
      <c r="AB6" s="239" t="str">
        <f>IF(AND('Mapa final'!$H$16="Muy Alta",'Mapa final'!$L$16="Mayor"),CONCATENATE("R",'Mapa final'!$A$16),"")</f>
        <v/>
      </c>
      <c r="AC6" s="236"/>
      <c r="AD6" s="241" t="str">
        <f>IF(AND('Mapa final'!$H$21="Muy Alta",'Mapa final'!$L$21="Mayor"),CONCATENATE("R",'Mapa final'!$A$21),"")</f>
        <v/>
      </c>
      <c r="AE6" s="236"/>
      <c r="AF6" s="241" t="str">
        <f>IF(AND('Mapa final'!$H$26="Muy Alta",'Mapa final'!$L$26="Mayor"),CONCATENATE("R",'Mapa final'!$A$26),"")</f>
        <v/>
      </c>
      <c r="AG6" s="238"/>
      <c r="AH6" s="258" t="str">
        <f>IF(AND('Mapa final'!$H$16="Muy Alta",'Mapa final'!$L$16="Catastrófico"),CONCATENATE("R",'Mapa final'!$A$16),"")</f>
        <v/>
      </c>
      <c r="AI6" s="236"/>
      <c r="AJ6" s="242" t="str">
        <f>IF(AND('Mapa final'!$H$21="Muy Alta",'Mapa final'!$L$21="Catastrófico"),CONCATENATE("R",'Mapa final'!$A$21),"")</f>
        <v/>
      </c>
      <c r="AK6" s="236"/>
      <c r="AL6" s="242" t="str">
        <f>IF(AND('Mapa final'!$H$26="Muy Alta",'Mapa final'!$L$26="Catastrófico"),CONCATENATE("R",'Mapa final'!$A$26),"")</f>
        <v/>
      </c>
      <c r="AM6" s="238"/>
      <c r="AO6" s="269" t="s">
        <v>96</v>
      </c>
      <c r="AP6" s="270"/>
      <c r="AQ6" s="270"/>
      <c r="AR6" s="270"/>
      <c r="AS6" s="270"/>
      <c r="AT6" s="271"/>
    </row>
    <row r="7" spans="2:46" ht="15" customHeight="1" x14ac:dyDescent="0.35">
      <c r="B7" s="263"/>
      <c r="C7" s="218"/>
      <c r="D7" s="219"/>
      <c r="E7" s="230"/>
      <c r="F7" s="218"/>
      <c r="G7" s="218"/>
      <c r="H7" s="218"/>
      <c r="I7" s="219"/>
      <c r="J7" s="240"/>
      <c r="K7" s="237"/>
      <c r="L7" s="233"/>
      <c r="M7" s="237"/>
      <c r="N7" s="233"/>
      <c r="O7" s="234"/>
      <c r="P7" s="240"/>
      <c r="Q7" s="237"/>
      <c r="R7" s="233"/>
      <c r="S7" s="237"/>
      <c r="T7" s="233"/>
      <c r="U7" s="234"/>
      <c r="V7" s="240"/>
      <c r="W7" s="237"/>
      <c r="X7" s="233"/>
      <c r="Y7" s="237"/>
      <c r="Z7" s="233"/>
      <c r="AA7" s="234"/>
      <c r="AB7" s="240"/>
      <c r="AC7" s="237"/>
      <c r="AD7" s="233"/>
      <c r="AE7" s="237"/>
      <c r="AF7" s="233"/>
      <c r="AG7" s="234"/>
      <c r="AH7" s="240"/>
      <c r="AI7" s="237"/>
      <c r="AJ7" s="233"/>
      <c r="AK7" s="237"/>
      <c r="AL7" s="233"/>
      <c r="AM7" s="234"/>
      <c r="AN7" s="1"/>
      <c r="AO7" s="272"/>
      <c r="AP7" s="218"/>
      <c r="AQ7" s="218"/>
      <c r="AR7" s="218"/>
      <c r="AS7" s="218"/>
      <c r="AT7" s="273"/>
    </row>
    <row r="8" spans="2:46" ht="15" customHeight="1" x14ac:dyDescent="0.35">
      <c r="B8" s="263"/>
      <c r="C8" s="218"/>
      <c r="D8" s="219"/>
      <c r="E8" s="230"/>
      <c r="F8" s="218"/>
      <c r="G8" s="218"/>
      <c r="H8" s="218"/>
      <c r="I8" s="219"/>
      <c r="J8" s="246" t="str">
        <f>IF(AND('Mapa final'!$H$31="Muy Alta",'Mapa final'!$L$31="Leve"),CONCATENATE("R",'Mapa final'!$A$31),"")</f>
        <v/>
      </c>
      <c r="K8" s="244"/>
      <c r="L8" s="247" t="str">
        <f>IF(AND('Mapa final'!$H$36="Muy Alta",'Mapa final'!$L$36="Leve"),CONCATENATE("R",'Mapa final'!$A$36),"")</f>
        <v/>
      </c>
      <c r="M8" s="244"/>
      <c r="N8" s="247" t="str">
        <f>IF(AND('Mapa final'!$H$41="Muy Alta",'Mapa final'!$L$41="Leve"),CONCATENATE("R",'Mapa final'!$A$41),"")</f>
        <v/>
      </c>
      <c r="O8" s="232"/>
      <c r="P8" s="246" t="str">
        <f>IF(AND('Mapa final'!$H$31="Muy Alta",'Mapa final'!$L$31="Menor"),CONCATENATE("R",'Mapa final'!$A$31),"")</f>
        <v/>
      </c>
      <c r="Q8" s="244"/>
      <c r="R8" s="247" t="str">
        <f>IF(AND('Mapa final'!$H$36="Muy Alta",'Mapa final'!$L$36="Menor"),CONCATENATE("R",'Mapa final'!$A$36),"")</f>
        <v/>
      </c>
      <c r="S8" s="244"/>
      <c r="T8" s="247" t="str">
        <f>IF(AND('Mapa final'!$H$41="Muy Alta",'Mapa final'!$L$41="Menor"),CONCATENATE("R",'Mapa final'!$A$41),"")</f>
        <v/>
      </c>
      <c r="U8" s="232"/>
      <c r="V8" s="246" t="str">
        <f>IF(AND('Mapa final'!$H$31="Muy Alta",'Mapa final'!$L$31="Moderado"),CONCATENATE("R",'Mapa final'!$A$31),"")</f>
        <v/>
      </c>
      <c r="W8" s="244"/>
      <c r="X8" s="247" t="str">
        <f>IF(AND('Mapa final'!$H$36="Muy Alta",'Mapa final'!$L$36="Moderado"),CONCATENATE("R",'Mapa final'!$A$36),"")</f>
        <v/>
      </c>
      <c r="Y8" s="244"/>
      <c r="Z8" s="247" t="str">
        <f>IF(AND('Mapa final'!$H$41="Muy Alta",'Mapa final'!$L$41="Moderado"),CONCATENATE("R",'Mapa final'!$A$41),"")</f>
        <v/>
      </c>
      <c r="AA8" s="232"/>
      <c r="AB8" s="246" t="str">
        <f>IF(AND('Mapa final'!$H$31="Muy Alta",'Mapa final'!$L$31="Mayor"),CONCATENATE("R",'Mapa final'!$A$31),"")</f>
        <v/>
      </c>
      <c r="AC8" s="244"/>
      <c r="AD8" s="247" t="str">
        <f>IF(AND('Mapa final'!$H$36="Muy Alta",'Mapa final'!$L$36="Mayor"),CONCATENATE("R",'Mapa final'!$A$36),"")</f>
        <v/>
      </c>
      <c r="AE8" s="244"/>
      <c r="AF8" s="247" t="str">
        <f>IF(AND('Mapa final'!$H$41="Muy Alta",'Mapa final'!$L$41="Mayor"),CONCATENATE("R",'Mapa final'!$A$41),"")</f>
        <v/>
      </c>
      <c r="AG8" s="232"/>
      <c r="AH8" s="248" t="str">
        <f>IF(AND('Mapa final'!$H$31="Muy Alta",'Mapa final'!$L$31="Catastrófico"),CONCATENATE("R",'Mapa final'!$A$31),"")</f>
        <v/>
      </c>
      <c r="AI8" s="244"/>
      <c r="AJ8" s="249" t="str">
        <f>IF(AND('Mapa final'!$H$36="Muy Alta",'Mapa final'!$L$36="Catastrófico"),CONCATENATE("R",'Mapa final'!$A$36),"")</f>
        <v/>
      </c>
      <c r="AK8" s="244"/>
      <c r="AL8" s="249" t="str">
        <f>IF(AND('Mapa final'!$H$41="Muy Alta",'Mapa final'!$L$41="Catastrófico"),CONCATENATE("R",'Mapa final'!$A$41),"")</f>
        <v/>
      </c>
      <c r="AM8" s="232"/>
      <c r="AN8" s="1"/>
      <c r="AO8" s="272"/>
      <c r="AP8" s="218"/>
      <c r="AQ8" s="218"/>
      <c r="AR8" s="218"/>
      <c r="AS8" s="218"/>
      <c r="AT8" s="273"/>
    </row>
    <row r="9" spans="2:46" ht="15" customHeight="1" x14ac:dyDescent="0.35">
      <c r="B9" s="263"/>
      <c r="C9" s="218"/>
      <c r="D9" s="219"/>
      <c r="E9" s="230"/>
      <c r="F9" s="218"/>
      <c r="G9" s="218"/>
      <c r="H9" s="218"/>
      <c r="I9" s="219"/>
      <c r="J9" s="240"/>
      <c r="K9" s="237"/>
      <c r="L9" s="233"/>
      <c r="M9" s="237"/>
      <c r="N9" s="233"/>
      <c r="O9" s="234"/>
      <c r="P9" s="240"/>
      <c r="Q9" s="237"/>
      <c r="R9" s="233"/>
      <c r="S9" s="237"/>
      <c r="T9" s="233"/>
      <c r="U9" s="234"/>
      <c r="V9" s="240"/>
      <c r="W9" s="237"/>
      <c r="X9" s="233"/>
      <c r="Y9" s="237"/>
      <c r="Z9" s="233"/>
      <c r="AA9" s="234"/>
      <c r="AB9" s="240"/>
      <c r="AC9" s="237"/>
      <c r="AD9" s="233"/>
      <c r="AE9" s="237"/>
      <c r="AF9" s="233"/>
      <c r="AG9" s="234"/>
      <c r="AH9" s="240"/>
      <c r="AI9" s="237"/>
      <c r="AJ9" s="233"/>
      <c r="AK9" s="237"/>
      <c r="AL9" s="233"/>
      <c r="AM9" s="234"/>
      <c r="AN9" s="1"/>
      <c r="AO9" s="272"/>
      <c r="AP9" s="218"/>
      <c r="AQ9" s="218"/>
      <c r="AR9" s="218"/>
      <c r="AS9" s="218"/>
      <c r="AT9" s="273"/>
    </row>
    <row r="10" spans="2:46" ht="15" customHeight="1" x14ac:dyDescent="0.35">
      <c r="B10" s="263"/>
      <c r="C10" s="218"/>
      <c r="D10" s="219"/>
      <c r="E10" s="230"/>
      <c r="F10" s="218"/>
      <c r="G10" s="218"/>
      <c r="H10" s="218"/>
      <c r="I10" s="219"/>
      <c r="J10" s="246" t="e">
        <f>IF(AND('Mapa final'!#REF!="Muy Alta",'Mapa final'!#REF!="Leve"),CONCATENATE("R",'Mapa final'!#REF!),"")</f>
        <v>#REF!</v>
      </c>
      <c r="K10" s="244"/>
      <c r="L10" s="247" t="e">
        <f>IF(AND('Mapa final'!#REF!="Muy Alta",'Mapa final'!#REF!="Leve"),CONCATENATE("R",'Mapa final'!#REF!),"")</f>
        <v>#REF!</v>
      </c>
      <c r="M10" s="244"/>
      <c r="N10" s="247" t="e">
        <f>IF(AND('Mapa final'!#REF!="Muy Alta",'Mapa final'!#REF!="Leve"),CONCATENATE("R",'Mapa final'!#REF!),"")</f>
        <v>#REF!</v>
      </c>
      <c r="O10" s="232"/>
      <c r="P10" s="246" t="e">
        <f>IF(AND('Mapa final'!#REF!="Muy Alta",'Mapa final'!#REF!="Menor"),CONCATENATE("R",'Mapa final'!#REF!),"")</f>
        <v>#REF!</v>
      </c>
      <c r="Q10" s="244"/>
      <c r="R10" s="247" t="e">
        <f>IF(AND('Mapa final'!#REF!="Muy Alta",'Mapa final'!#REF!="Menor"),CONCATENATE("R",'Mapa final'!#REF!),"")</f>
        <v>#REF!</v>
      </c>
      <c r="S10" s="244"/>
      <c r="T10" s="247" t="e">
        <f>IF(AND('Mapa final'!#REF!="Muy Alta",'Mapa final'!#REF!="Menor"),CONCATENATE("R",'Mapa final'!#REF!),"")</f>
        <v>#REF!</v>
      </c>
      <c r="U10" s="232"/>
      <c r="V10" s="246" t="e">
        <f>IF(AND('Mapa final'!#REF!="Muy Alta",'Mapa final'!#REF!="Moderado"),CONCATENATE("R",'Mapa final'!#REF!),"")</f>
        <v>#REF!</v>
      </c>
      <c r="W10" s="244"/>
      <c r="X10" s="247" t="e">
        <f>IF(AND('Mapa final'!#REF!="Muy Alta",'Mapa final'!#REF!="Moderado"),CONCATENATE("R",'Mapa final'!#REF!),"")</f>
        <v>#REF!</v>
      </c>
      <c r="Y10" s="244"/>
      <c r="Z10" s="247" t="e">
        <f>IF(AND('Mapa final'!#REF!="Muy Alta",'Mapa final'!#REF!="Moderado"),CONCATENATE("R",'Mapa final'!#REF!),"")</f>
        <v>#REF!</v>
      </c>
      <c r="AA10" s="232"/>
      <c r="AB10" s="246" t="e">
        <f>IF(AND('Mapa final'!#REF!="Muy Alta",'Mapa final'!#REF!="Mayor"),CONCATENATE("R",'Mapa final'!#REF!),"")</f>
        <v>#REF!</v>
      </c>
      <c r="AC10" s="244"/>
      <c r="AD10" s="247" t="e">
        <f>IF(AND('Mapa final'!#REF!="Muy Alta",'Mapa final'!#REF!="Mayor"),CONCATENATE("R",'Mapa final'!#REF!),"")</f>
        <v>#REF!</v>
      </c>
      <c r="AE10" s="244"/>
      <c r="AF10" s="247" t="e">
        <f>IF(AND('Mapa final'!#REF!="Muy Alta",'Mapa final'!#REF!="Mayor"),CONCATENATE("R",'Mapa final'!#REF!),"")</f>
        <v>#REF!</v>
      </c>
      <c r="AG10" s="232"/>
      <c r="AH10" s="248" t="e">
        <f>IF(AND('Mapa final'!#REF!="Muy Alta",'Mapa final'!#REF!="Catastrófico"),CONCATENATE("R",'Mapa final'!#REF!),"")</f>
        <v>#REF!</v>
      </c>
      <c r="AI10" s="244"/>
      <c r="AJ10" s="249" t="e">
        <f>IF(AND('Mapa final'!#REF!="Muy Alta",'Mapa final'!#REF!="Catastrófico"),CONCATENATE("R",'Mapa final'!#REF!),"")</f>
        <v>#REF!</v>
      </c>
      <c r="AK10" s="244"/>
      <c r="AL10" s="249" t="e">
        <f>IF(AND('Mapa final'!#REF!="Muy Alta",'Mapa final'!#REF!="Catastrófico"),CONCATENATE("R",'Mapa final'!#REF!),"")</f>
        <v>#REF!</v>
      </c>
      <c r="AM10" s="232"/>
      <c r="AN10" s="1"/>
      <c r="AO10" s="272"/>
      <c r="AP10" s="218"/>
      <c r="AQ10" s="218"/>
      <c r="AR10" s="218"/>
      <c r="AS10" s="218"/>
      <c r="AT10" s="273"/>
    </row>
    <row r="11" spans="2:46" ht="15" customHeight="1" x14ac:dyDescent="0.35">
      <c r="B11" s="263"/>
      <c r="C11" s="218"/>
      <c r="D11" s="219"/>
      <c r="E11" s="230"/>
      <c r="F11" s="218"/>
      <c r="G11" s="218"/>
      <c r="H11" s="218"/>
      <c r="I11" s="219"/>
      <c r="J11" s="240"/>
      <c r="K11" s="237"/>
      <c r="L11" s="233"/>
      <c r="M11" s="237"/>
      <c r="N11" s="233"/>
      <c r="O11" s="234"/>
      <c r="P11" s="240"/>
      <c r="Q11" s="237"/>
      <c r="R11" s="233"/>
      <c r="S11" s="237"/>
      <c r="T11" s="233"/>
      <c r="U11" s="234"/>
      <c r="V11" s="240"/>
      <c r="W11" s="237"/>
      <c r="X11" s="233"/>
      <c r="Y11" s="237"/>
      <c r="Z11" s="233"/>
      <c r="AA11" s="234"/>
      <c r="AB11" s="240"/>
      <c r="AC11" s="237"/>
      <c r="AD11" s="233"/>
      <c r="AE11" s="237"/>
      <c r="AF11" s="233"/>
      <c r="AG11" s="234"/>
      <c r="AH11" s="240"/>
      <c r="AI11" s="237"/>
      <c r="AJ11" s="233"/>
      <c r="AK11" s="237"/>
      <c r="AL11" s="233"/>
      <c r="AM11" s="234"/>
      <c r="AN11" s="1"/>
      <c r="AO11" s="272"/>
      <c r="AP11" s="218"/>
      <c r="AQ11" s="218"/>
      <c r="AR11" s="218"/>
      <c r="AS11" s="218"/>
      <c r="AT11" s="273"/>
    </row>
    <row r="12" spans="2:46" ht="15" customHeight="1" x14ac:dyDescent="0.35">
      <c r="B12" s="263"/>
      <c r="C12" s="218"/>
      <c r="D12" s="219"/>
      <c r="E12" s="230"/>
      <c r="F12" s="218"/>
      <c r="G12" s="218"/>
      <c r="H12" s="218"/>
      <c r="I12" s="219"/>
      <c r="J12" s="246" t="e">
        <f>IF(AND('Mapa final'!#REF!="Muy Alta",'Mapa final'!#REF!="Leve"),CONCATENATE("R",'Mapa final'!#REF!),"")</f>
        <v>#REF!</v>
      </c>
      <c r="K12" s="244"/>
      <c r="L12" s="247" t="str">
        <f>IF(AND('Mapa final'!$H$46="Muy Alta",'Mapa final'!$L$46="Leve"),CONCATENATE("R",'Mapa final'!$A$46),"")</f>
        <v/>
      </c>
      <c r="M12" s="244"/>
      <c r="N12" s="247" t="str">
        <f>IF(AND('Mapa final'!$H$52="Muy Alta",'Mapa final'!$L$52="Leve"),CONCATENATE("R",'Mapa final'!$A$52),"")</f>
        <v/>
      </c>
      <c r="O12" s="232"/>
      <c r="P12" s="246" t="e">
        <f>IF(AND('Mapa final'!#REF!="Muy Alta",'Mapa final'!#REF!="Menor"),CONCATENATE("R",'Mapa final'!#REF!),"")</f>
        <v>#REF!</v>
      </c>
      <c r="Q12" s="244"/>
      <c r="R12" s="247" t="str">
        <f>IF(AND('Mapa final'!$H$46="Muy Alta",'Mapa final'!$L$46="Menor"),CONCATENATE("R",'Mapa final'!$A$46),"")</f>
        <v/>
      </c>
      <c r="S12" s="244"/>
      <c r="T12" s="247" t="str">
        <f>IF(AND('Mapa final'!$H$52="Muy Alta",'Mapa final'!$L$52="Menor"),CONCATENATE("R",'Mapa final'!$A$52),"")</f>
        <v/>
      </c>
      <c r="U12" s="232"/>
      <c r="V12" s="246" t="e">
        <f>IF(AND('Mapa final'!#REF!="Muy Alta",'Mapa final'!#REF!="Moderado"),CONCATENATE("R",'Mapa final'!#REF!),"")</f>
        <v>#REF!</v>
      </c>
      <c r="W12" s="244"/>
      <c r="X12" s="247" t="str">
        <f>IF(AND('Mapa final'!$H$46="Muy Alta",'Mapa final'!$L$46="Moderado"),CONCATENATE("R",'Mapa final'!$A$46),"")</f>
        <v/>
      </c>
      <c r="Y12" s="244"/>
      <c r="Z12" s="247" t="str">
        <f>IF(AND('Mapa final'!$H$52="Muy Alta",'Mapa final'!$L$52="Moderado"),CONCATENATE("R",'Mapa final'!$A$52),"")</f>
        <v/>
      </c>
      <c r="AA12" s="232"/>
      <c r="AB12" s="246" t="e">
        <f>IF(AND('Mapa final'!#REF!="Muy Alta",'Mapa final'!#REF!="Mayor"),CONCATENATE("R",'Mapa final'!#REF!),"")</f>
        <v>#REF!</v>
      </c>
      <c r="AC12" s="244"/>
      <c r="AD12" s="247" t="str">
        <f>IF(AND('Mapa final'!$H$46="Muy Alta",'Mapa final'!$L$46="Mayor"),CONCATENATE("R",'Mapa final'!$A$46),"")</f>
        <v/>
      </c>
      <c r="AE12" s="244"/>
      <c r="AF12" s="247" t="str">
        <f>IF(AND('Mapa final'!$H$52="Muy Alta",'Mapa final'!$L$52="Mayor"),CONCATENATE("R",'Mapa final'!$A$52),"")</f>
        <v/>
      </c>
      <c r="AG12" s="232"/>
      <c r="AH12" s="248" t="e">
        <f>IF(AND('Mapa final'!#REF!="Muy Alta",'Mapa final'!#REF!="Catastrófico"),CONCATENATE("R",'Mapa final'!#REF!),"")</f>
        <v>#REF!</v>
      </c>
      <c r="AI12" s="244"/>
      <c r="AJ12" s="249" t="str">
        <f>IF(AND('Mapa final'!$H$46="Muy Alta",'Mapa final'!$L$46="Catastrófico"),CONCATENATE("R",'Mapa final'!$A$46),"")</f>
        <v/>
      </c>
      <c r="AK12" s="244"/>
      <c r="AL12" s="249" t="str">
        <f>IF(AND('Mapa final'!$H$52="Muy Alta",'Mapa final'!$L$52="Catastrófico"),CONCATENATE("R",'Mapa final'!$A$52),"")</f>
        <v/>
      </c>
      <c r="AM12" s="232"/>
      <c r="AN12" s="1"/>
      <c r="AO12" s="272"/>
      <c r="AP12" s="218"/>
      <c r="AQ12" s="218"/>
      <c r="AR12" s="218"/>
      <c r="AS12" s="218"/>
      <c r="AT12" s="273"/>
    </row>
    <row r="13" spans="2:46" ht="15.75" customHeight="1" x14ac:dyDescent="0.35">
      <c r="B13" s="263"/>
      <c r="C13" s="218"/>
      <c r="D13" s="219"/>
      <c r="E13" s="253"/>
      <c r="F13" s="254"/>
      <c r="G13" s="254"/>
      <c r="H13" s="254"/>
      <c r="I13" s="257"/>
      <c r="J13" s="240"/>
      <c r="K13" s="237"/>
      <c r="L13" s="233"/>
      <c r="M13" s="237"/>
      <c r="N13" s="233"/>
      <c r="O13" s="234"/>
      <c r="P13" s="240"/>
      <c r="Q13" s="237"/>
      <c r="R13" s="233"/>
      <c r="S13" s="237"/>
      <c r="T13" s="233"/>
      <c r="U13" s="234"/>
      <c r="V13" s="240"/>
      <c r="W13" s="237"/>
      <c r="X13" s="233"/>
      <c r="Y13" s="237"/>
      <c r="Z13" s="233"/>
      <c r="AA13" s="234"/>
      <c r="AB13" s="240"/>
      <c r="AC13" s="237"/>
      <c r="AD13" s="233"/>
      <c r="AE13" s="237"/>
      <c r="AF13" s="233"/>
      <c r="AG13" s="234"/>
      <c r="AH13" s="253"/>
      <c r="AI13" s="255"/>
      <c r="AJ13" s="256"/>
      <c r="AK13" s="255"/>
      <c r="AL13" s="256"/>
      <c r="AM13" s="257"/>
      <c r="AN13" s="1"/>
      <c r="AO13" s="274"/>
      <c r="AP13" s="275"/>
      <c r="AQ13" s="275"/>
      <c r="AR13" s="275"/>
      <c r="AS13" s="275"/>
      <c r="AT13" s="276"/>
    </row>
    <row r="14" spans="2:46" ht="15" customHeight="1" x14ac:dyDescent="0.35">
      <c r="B14" s="263"/>
      <c r="C14" s="218"/>
      <c r="D14" s="219"/>
      <c r="E14" s="251" t="s">
        <v>97</v>
      </c>
      <c r="F14" s="252"/>
      <c r="G14" s="252"/>
      <c r="H14" s="252"/>
      <c r="I14" s="252"/>
      <c r="J14" s="250" t="str">
        <f>IF(AND('Mapa final'!$H$16="Alta",'Mapa final'!$L$16="Leve"),CONCATENATE("R",'Mapa final'!$A$16),"")</f>
        <v/>
      </c>
      <c r="K14" s="236"/>
      <c r="L14" s="235" t="str">
        <f>IF(AND('Mapa final'!$H$21="Alta",'Mapa final'!$L$21="Leve"),CONCATENATE("R",'Mapa final'!$A$21),"")</f>
        <v/>
      </c>
      <c r="M14" s="236"/>
      <c r="N14" s="235" t="str">
        <f>IF(AND('Mapa final'!$H$26="Alta",'Mapa final'!$L$26="Leve"),CONCATENATE("R",'Mapa final'!$A$26),"")</f>
        <v/>
      </c>
      <c r="O14" s="238"/>
      <c r="P14" s="250" t="str">
        <f>IF(AND('Mapa final'!$H$16="Alta",'Mapa final'!$L$16="Menor"),CONCATENATE("R",'Mapa final'!$A$16),"")</f>
        <v/>
      </c>
      <c r="Q14" s="236"/>
      <c r="R14" s="235" t="str">
        <f>IF(AND('Mapa final'!$H$21="Alta",'Mapa final'!$L$21="Menor"),CONCATENATE("R",'Mapa final'!$A$21),"")</f>
        <v/>
      </c>
      <c r="S14" s="236"/>
      <c r="T14" s="235" t="str">
        <f>IF(AND('Mapa final'!$H$26="Alta",'Mapa final'!$L$26="Menor"),CONCATENATE("R",'Mapa final'!$A$26),"")</f>
        <v/>
      </c>
      <c r="U14" s="238"/>
      <c r="V14" s="239" t="str">
        <f>IF(AND('Mapa final'!$H$16="Alta",'Mapa final'!$L$16="Moderado"),CONCATENATE("R",'Mapa final'!$A$16),"")</f>
        <v>R1</v>
      </c>
      <c r="W14" s="236"/>
      <c r="X14" s="241" t="str">
        <f>IF(AND('Mapa final'!$H$21="Alta",'Mapa final'!$L$21="Moderado"),CONCATENATE("R",'Mapa final'!$A$21),"")</f>
        <v/>
      </c>
      <c r="Y14" s="236"/>
      <c r="Z14" s="241" t="str">
        <f>IF(AND('Mapa final'!$H$26="Alta",'Mapa final'!$L$26="Moderado"),CONCATENATE("R",'Mapa final'!$A$26),"")</f>
        <v/>
      </c>
      <c r="AA14" s="238"/>
      <c r="AB14" s="239" t="str">
        <f>IF(AND('Mapa final'!$H$16="Alta",'Mapa final'!$L$16="Mayor"),CONCATENATE("R",'Mapa final'!$A$16),"")</f>
        <v/>
      </c>
      <c r="AC14" s="236"/>
      <c r="AD14" s="241" t="str">
        <f>IF(AND('Mapa final'!$H$21="Alta",'Mapa final'!$L$21="Mayor"),CONCATENATE("R",'Mapa final'!$A$21),"")</f>
        <v/>
      </c>
      <c r="AE14" s="236"/>
      <c r="AF14" s="241" t="str">
        <f>IF(AND('Mapa final'!$H$26="Alta",'Mapa final'!$L$26="Mayor"),CONCATENATE("R",'Mapa final'!$A$26),"")</f>
        <v/>
      </c>
      <c r="AG14" s="238"/>
      <c r="AH14" s="258" t="str">
        <f>IF(AND('Mapa final'!$H$16="Alta",'Mapa final'!$L$16="Catastrófico"),CONCATENATE("R",'Mapa final'!$A$16),"")</f>
        <v/>
      </c>
      <c r="AI14" s="236"/>
      <c r="AJ14" s="242" t="str">
        <f>IF(AND('Mapa final'!$H$21="Alta",'Mapa final'!$L$21="Catastrófico"),CONCATENATE("R",'Mapa final'!$A$21),"")</f>
        <v/>
      </c>
      <c r="AK14" s="236"/>
      <c r="AL14" s="242" t="str">
        <f>IF(AND('Mapa final'!$H$26="Alta",'Mapa final'!$L$26="Catastrófico"),CONCATENATE("R",'Mapa final'!$A$26),"")</f>
        <v/>
      </c>
      <c r="AM14" s="238"/>
      <c r="AN14" s="1"/>
      <c r="AO14" s="278" t="s">
        <v>98</v>
      </c>
      <c r="AP14" s="270"/>
      <c r="AQ14" s="270"/>
      <c r="AR14" s="270"/>
      <c r="AS14" s="270"/>
      <c r="AT14" s="271"/>
    </row>
    <row r="15" spans="2:46" ht="15" customHeight="1" x14ac:dyDescent="0.35">
      <c r="B15" s="263"/>
      <c r="C15" s="218"/>
      <c r="D15" s="219"/>
      <c r="E15" s="230"/>
      <c r="F15" s="218"/>
      <c r="G15" s="218"/>
      <c r="H15" s="218"/>
      <c r="I15" s="218"/>
      <c r="J15" s="240"/>
      <c r="K15" s="237"/>
      <c r="L15" s="233"/>
      <c r="M15" s="237"/>
      <c r="N15" s="233"/>
      <c r="O15" s="234"/>
      <c r="P15" s="240"/>
      <c r="Q15" s="237"/>
      <c r="R15" s="233"/>
      <c r="S15" s="237"/>
      <c r="T15" s="233"/>
      <c r="U15" s="234"/>
      <c r="V15" s="240"/>
      <c r="W15" s="237"/>
      <c r="X15" s="233"/>
      <c r="Y15" s="237"/>
      <c r="Z15" s="233"/>
      <c r="AA15" s="234"/>
      <c r="AB15" s="240"/>
      <c r="AC15" s="237"/>
      <c r="AD15" s="233"/>
      <c r="AE15" s="237"/>
      <c r="AF15" s="233"/>
      <c r="AG15" s="234"/>
      <c r="AH15" s="240"/>
      <c r="AI15" s="237"/>
      <c r="AJ15" s="233"/>
      <c r="AK15" s="237"/>
      <c r="AL15" s="233"/>
      <c r="AM15" s="234"/>
      <c r="AN15" s="1"/>
      <c r="AO15" s="272"/>
      <c r="AP15" s="218"/>
      <c r="AQ15" s="218"/>
      <c r="AR15" s="218"/>
      <c r="AS15" s="218"/>
      <c r="AT15" s="273"/>
    </row>
    <row r="16" spans="2:46" ht="15" customHeight="1" x14ac:dyDescent="0.35">
      <c r="B16" s="263"/>
      <c r="C16" s="218"/>
      <c r="D16" s="219"/>
      <c r="E16" s="230"/>
      <c r="F16" s="218"/>
      <c r="G16" s="218"/>
      <c r="H16" s="218"/>
      <c r="I16" s="218"/>
      <c r="J16" s="245" t="str">
        <f>IF(AND('Mapa final'!$H$31="Alta",'Mapa final'!$L$31="Leve"),CONCATENATE("R",'Mapa final'!$A$31),"")</f>
        <v/>
      </c>
      <c r="K16" s="244"/>
      <c r="L16" s="231" t="str">
        <f>IF(AND('Mapa final'!$H$36="Alta",'Mapa final'!$L$36="Leve"),CONCATENATE("R",'Mapa final'!$A$36),"")</f>
        <v/>
      </c>
      <c r="M16" s="244"/>
      <c r="N16" s="231" t="str">
        <f>IF(AND('Mapa final'!$H$41="Alta",'Mapa final'!$L$41="Leve"),CONCATENATE("R",'Mapa final'!$A$41),"")</f>
        <v/>
      </c>
      <c r="O16" s="232"/>
      <c r="P16" s="245" t="str">
        <f>IF(AND('Mapa final'!$H$31="Alta",'Mapa final'!$L$31="Menor"),CONCATENATE("R",'Mapa final'!$A$31),"")</f>
        <v/>
      </c>
      <c r="Q16" s="244"/>
      <c r="R16" s="231" t="str">
        <f>IF(AND('Mapa final'!$H$36="Alta",'Mapa final'!$L$36="Menor"),CONCATENATE("R",'Mapa final'!$A$36),"")</f>
        <v/>
      </c>
      <c r="S16" s="244"/>
      <c r="T16" s="231" t="str">
        <f>IF(AND('Mapa final'!$H$41="Alta",'Mapa final'!$L$41="Menor"),CONCATENATE("R",'Mapa final'!$A$41),"")</f>
        <v/>
      </c>
      <c r="U16" s="232"/>
      <c r="V16" s="246" t="str">
        <f>IF(AND('Mapa final'!$H$31="Alta",'Mapa final'!$L$31="Moderado"),CONCATENATE("R",'Mapa final'!$A$31),"")</f>
        <v/>
      </c>
      <c r="W16" s="244"/>
      <c r="X16" s="247" t="str">
        <f>IF(AND('Mapa final'!$H$36="Alta",'Mapa final'!$L$36="Moderado"),CONCATENATE("R",'Mapa final'!$A$36),"")</f>
        <v/>
      </c>
      <c r="Y16" s="244"/>
      <c r="Z16" s="247" t="str">
        <f>IF(AND('Mapa final'!$H$41="Alta",'Mapa final'!$L$41="Moderado"),CONCATENATE("R",'Mapa final'!$A$41),"")</f>
        <v/>
      </c>
      <c r="AA16" s="232"/>
      <c r="AB16" s="246" t="str">
        <f>IF(AND('Mapa final'!$H$31="Alta",'Mapa final'!$L$31="Mayor"),CONCATENATE("R",'Mapa final'!$A$31),"")</f>
        <v/>
      </c>
      <c r="AC16" s="244"/>
      <c r="AD16" s="247" t="str">
        <f>IF(AND('Mapa final'!$H$36="Alta",'Mapa final'!$L$36="Mayor"),CONCATENATE("R",'Mapa final'!$A$36),"")</f>
        <v/>
      </c>
      <c r="AE16" s="244"/>
      <c r="AF16" s="247" t="str">
        <f>IF(AND('Mapa final'!$H$41="Alta",'Mapa final'!$L$41="Mayor"),CONCATENATE("R",'Mapa final'!$A$41),"")</f>
        <v/>
      </c>
      <c r="AG16" s="232"/>
      <c r="AH16" s="248" t="str">
        <f>IF(AND('Mapa final'!$H$31="Alta",'Mapa final'!$L$31="Catastrófico"),CONCATENATE("R",'Mapa final'!$A$31),"")</f>
        <v/>
      </c>
      <c r="AI16" s="244"/>
      <c r="AJ16" s="249" t="str">
        <f>IF(AND('Mapa final'!$H$36="Alta",'Mapa final'!$L$36="Catastrófico"),CONCATENATE("R",'Mapa final'!$A$36),"")</f>
        <v/>
      </c>
      <c r="AK16" s="244"/>
      <c r="AL16" s="249" t="str">
        <f>IF(AND('Mapa final'!$H$41="Alta",'Mapa final'!$L$41="Catastrófico"),CONCATENATE("R",'Mapa final'!$A$41),"")</f>
        <v/>
      </c>
      <c r="AM16" s="232"/>
      <c r="AN16" s="1"/>
      <c r="AO16" s="272"/>
      <c r="AP16" s="218"/>
      <c r="AQ16" s="218"/>
      <c r="AR16" s="218"/>
      <c r="AS16" s="218"/>
      <c r="AT16" s="273"/>
    </row>
    <row r="17" spans="2:46" ht="15" customHeight="1" x14ac:dyDescent="0.35">
      <c r="B17" s="263"/>
      <c r="C17" s="218"/>
      <c r="D17" s="219"/>
      <c r="E17" s="230"/>
      <c r="F17" s="218"/>
      <c r="G17" s="218"/>
      <c r="H17" s="218"/>
      <c r="I17" s="218"/>
      <c r="J17" s="240"/>
      <c r="K17" s="237"/>
      <c r="L17" s="233"/>
      <c r="M17" s="237"/>
      <c r="N17" s="233"/>
      <c r="O17" s="234"/>
      <c r="P17" s="240"/>
      <c r="Q17" s="237"/>
      <c r="R17" s="233"/>
      <c r="S17" s="237"/>
      <c r="T17" s="233"/>
      <c r="U17" s="234"/>
      <c r="V17" s="240"/>
      <c r="W17" s="237"/>
      <c r="X17" s="233"/>
      <c r="Y17" s="237"/>
      <c r="Z17" s="233"/>
      <c r="AA17" s="234"/>
      <c r="AB17" s="240"/>
      <c r="AC17" s="237"/>
      <c r="AD17" s="233"/>
      <c r="AE17" s="237"/>
      <c r="AF17" s="233"/>
      <c r="AG17" s="234"/>
      <c r="AH17" s="240"/>
      <c r="AI17" s="237"/>
      <c r="AJ17" s="233"/>
      <c r="AK17" s="237"/>
      <c r="AL17" s="233"/>
      <c r="AM17" s="234"/>
      <c r="AN17" s="1"/>
      <c r="AO17" s="272"/>
      <c r="AP17" s="218"/>
      <c r="AQ17" s="218"/>
      <c r="AR17" s="218"/>
      <c r="AS17" s="218"/>
      <c r="AT17" s="273"/>
    </row>
    <row r="18" spans="2:46" ht="15" customHeight="1" x14ac:dyDescent="0.35">
      <c r="B18" s="263"/>
      <c r="C18" s="218"/>
      <c r="D18" s="219"/>
      <c r="E18" s="230"/>
      <c r="F18" s="218"/>
      <c r="G18" s="218"/>
      <c r="H18" s="218"/>
      <c r="I18" s="218"/>
      <c r="J18" s="245" t="e">
        <f>IF(AND('Mapa final'!#REF!="Alta",'Mapa final'!#REF!="Leve"),CONCATENATE("R",'Mapa final'!#REF!),"")</f>
        <v>#REF!</v>
      </c>
      <c r="K18" s="244"/>
      <c r="L18" s="231" t="e">
        <f>IF(AND('Mapa final'!#REF!="Alta",'Mapa final'!#REF!="Leve"),CONCATENATE("R",'Mapa final'!#REF!),"")</f>
        <v>#REF!</v>
      </c>
      <c r="M18" s="244"/>
      <c r="N18" s="231" t="e">
        <f>IF(AND('Mapa final'!#REF!="Alta",'Mapa final'!#REF!="Leve"),CONCATENATE("R",'Mapa final'!#REF!),"")</f>
        <v>#REF!</v>
      </c>
      <c r="O18" s="232"/>
      <c r="P18" s="245" t="e">
        <f>IF(AND('Mapa final'!#REF!="Alta",'Mapa final'!#REF!="Menor"),CONCATENATE("R",'Mapa final'!#REF!),"")</f>
        <v>#REF!</v>
      </c>
      <c r="Q18" s="244"/>
      <c r="R18" s="231" t="e">
        <f>IF(AND('Mapa final'!#REF!="Alta",'Mapa final'!#REF!="Menor"),CONCATENATE("R",'Mapa final'!#REF!),"")</f>
        <v>#REF!</v>
      </c>
      <c r="S18" s="244"/>
      <c r="T18" s="231" t="e">
        <f>IF(AND('Mapa final'!#REF!="Alta",'Mapa final'!#REF!="Menor"),CONCATENATE("R",'Mapa final'!#REF!),"")</f>
        <v>#REF!</v>
      </c>
      <c r="U18" s="232"/>
      <c r="V18" s="246" t="e">
        <f>IF(AND('Mapa final'!#REF!="Alta",'Mapa final'!#REF!="Moderado"),CONCATENATE("R",'Mapa final'!#REF!),"")</f>
        <v>#REF!</v>
      </c>
      <c r="W18" s="244"/>
      <c r="X18" s="247" t="e">
        <f>IF(AND('Mapa final'!#REF!="Alta",'Mapa final'!#REF!="Moderado"),CONCATENATE("R",'Mapa final'!#REF!),"")</f>
        <v>#REF!</v>
      </c>
      <c r="Y18" s="244"/>
      <c r="Z18" s="247" t="e">
        <f>IF(AND('Mapa final'!#REF!="Alta",'Mapa final'!#REF!="Moderado"),CONCATENATE("R",'Mapa final'!#REF!),"")</f>
        <v>#REF!</v>
      </c>
      <c r="AA18" s="232"/>
      <c r="AB18" s="246" t="e">
        <f>IF(AND('Mapa final'!#REF!="Alta",'Mapa final'!#REF!="Mayor"),CONCATENATE("R",'Mapa final'!#REF!),"")</f>
        <v>#REF!</v>
      </c>
      <c r="AC18" s="244"/>
      <c r="AD18" s="247" t="e">
        <f>IF(AND('Mapa final'!#REF!="Alta",'Mapa final'!#REF!="Mayor"),CONCATENATE("R",'Mapa final'!#REF!),"")</f>
        <v>#REF!</v>
      </c>
      <c r="AE18" s="244"/>
      <c r="AF18" s="247" t="e">
        <f>IF(AND('Mapa final'!#REF!="Alta",'Mapa final'!#REF!="Mayor"),CONCATENATE("R",'Mapa final'!#REF!),"")</f>
        <v>#REF!</v>
      </c>
      <c r="AG18" s="232"/>
      <c r="AH18" s="248" t="e">
        <f>IF(AND('Mapa final'!#REF!="Alta",'Mapa final'!#REF!="Catastrófico"),CONCATENATE("R",'Mapa final'!#REF!),"")</f>
        <v>#REF!</v>
      </c>
      <c r="AI18" s="244"/>
      <c r="AJ18" s="249" t="e">
        <f>IF(AND('Mapa final'!#REF!="Alta",'Mapa final'!#REF!="Catastrófico"),CONCATENATE("R",'Mapa final'!#REF!),"")</f>
        <v>#REF!</v>
      </c>
      <c r="AK18" s="244"/>
      <c r="AL18" s="249" t="e">
        <f>IF(AND('Mapa final'!#REF!="Alta",'Mapa final'!#REF!="Catastrófico"),CONCATENATE("R",'Mapa final'!#REF!),"")</f>
        <v>#REF!</v>
      </c>
      <c r="AM18" s="232"/>
      <c r="AN18" s="1"/>
      <c r="AO18" s="272"/>
      <c r="AP18" s="218"/>
      <c r="AQ18" s="218"/>
      <c r="AR18" s="218"/>
      <c r="AS18" s="218"/>
      <c r="AT18" s="273"/>
    </row>
    <row r="19" spans="2:46" ht="15" customHeight="1" x14ac:dyDescent="0.35">
      <c r="B19" s="263"/>
      <c r="C19" s="218"/>
      <c r="D19" s="219"/>
      <c r="E19" s="230"/>
      <c r="F19" s="218"/>
      <c r="G19" s="218"/>
      <c r="H19" s="218"/>
      <c r="I19" s="218"/>
      <c r="J19" s="240"/>
      <c r="K19" s="237"/>
      <c r="L19" s="233"/>
      <c r="M19" s="237"/>
      <c r="N19" s="233"/>
      <c r="O19" s="234"/>
      <c r="P19" s="240"/>
      <c r="Q19" s="237"/>
      <c r="R19" s="233"/>
      <c r="S19" s="237"/>
      <c r="T19" s="233"/>
      <c r="U19" s="234"/>
      <c r="V19" s="240"/>
      <c r="W19" s="237"/>
      <c r="X19" s="233"/>
      <c r="Y19" s="237"/>
      <c r="Z19" s="233"/>
      <c r="AA19" s="234"/>
      <c r="AB19" s="240"/>
      <c r="AC19" s="237"/>
      <c r="AD19" s="233"/>
      <c r="AE19" s="237"/>
      <c r="AF19" s="233"/>
      <c r="AG19" s="234"/>
      <c r="AH19" s="240"/>
      <c r="AI19" s="237"/>
      <c r="AJ19" s="233"/>
      <c r="AK19" s="237"/>
      <c r="AL19" s="233"/>
      <c r="AM19" s="234"/>
      <c r="AN19" s="1"/>
      <c r="AO19" s="272"/>
      <c r="AP19" s="218"/>
      <c r="AQ19" s="218"/>
      <c r="AR19" s="218"/>
      <c r="AS19" s="218"/>
      <c r="AT19" s="273"/>
    </row>
    <row r="20" spans="2:46" ht="15" customHeight="1" x14ac:dyDescent="0.35">
      <c r="B20" s="263"/>
      <c r="C20" s="218"/>
      <c r="D20" s="219"/>
      <c r="E20" s="230"/>
      <c r="F20" s="218"/>
      <c r="G20" s="218"/>
      <c r="H20" s="218"/>
      <c r="I20" s="218"/>
      <c r="J20" s="245" t="e">
        <f>IF(AND('Mapa final'!#REF!="Alta",'Mapa final'!#REF!="Leve"),CONCATENATE("R",'Mapa final'!#REF!),"")</f>
        <v>#REF!</v>
      </c>
      <c r="K20" s="244"/>
      <c r="L20" s="231" t="str">
        <f>IF(AND('Mapa final'!$H$46="Alta",'Mapa final'!$L$46="Leve"),CONCATENATE("R",'Mapa final'!$A$46),"")</f>
        <v/>
      </c>
      <c r="M20" s="244"/>
      <c r="N20" s="231" t="str">
        <f>IF(AND('Mapa final'!$H$52="Alta",'Mapa final'!$L$52="Leve"),CONCATENATE("R",'Mapa final'!$A$52),"")</f>
        <v/>
      </c>
      <c r="O20" s="232"/>
      <c r="P20" s="245" t="e">
        <f>IF(AND('Mapa final'!#REF!="Alta",'Mapa final'!#REF!="Menor"),CONCATENATE("R",'Mapa final'!#REF!),"")</f>
        <v>#REF!</v>
      </c>
      <c r="Q20" s="244"/>
      <c r="R20" s="231" t="str">
        <f>IF(AND('Mapa final'!$H$46="Alta",'Mapa final'!$L$46="Menor"),CONCATENATE("R",'Mapa final'!$A$46),"")</f>
        <v/>
      </c>
      <c r="S20" s="244"/>
      <c r="T20" s="231" t="str">
        <f>IF(AND('Mapa final'!$H$52="Alta",'Mapa final'!$L$52="Menor"),CONCATENATE("R",'Mapa final'!$A$52),"")</f>
        <v/>
      </c>
      <c r="U20" s="232"/>
      <c r="V20" s="246" t="e">
        <f>IF(AND('Mapa final'!#REF!="Alta",'Mapa final'!#REF!="Moderado"),CONCATENATE("R",'Mapa final'!#REF!),"")</f>
        <v>#REF!</v>
      </c>
      <c r="W20" s="244"/>
      <c r="X20" s="247" t="str">
        <f>IF(AND('Mapa final'!$H$46="Alta",'Mapa final'!$L$46="Moderado"),CONCATENATE("R",'Mapa final'!$A$46),"")</f>
        <v/>
      </c>
      <c r="Y20" s="244"/>
      <c r="Z20" s="247" t="str">
        <f>IF(AND('Mapa final'!$H$52="Alta",'Mapa final'!$L$52="Moderado"),CONCATENATE("R",'Mapa final'!$A$52),"")</f>
        <v/>
      </c>
      <c r="AA20" s="232"/>
      <c r="AB20" s="246" t="e">
        <f>IF(AND('Mapa final'!#REF!="Alta",'Mapa final'!#REF!="Mayor"),CONCATENATE("R",'Mapa final'!#REF!),"")</f>
        <v>#REF!</v>
      </c>
      <c r="AC20" s="244"/>
      <c r="AD20" s="247" t="str">
        <f>IF(AND('Mapa final'!$H$46="Alta",'Mapa final'!$L$46="Mayor"),CONCATENATE("R",'Mapa final'!$A$46),"")</f>
        <v/>
      </c>
      <c r="AE20" s="244"/>
      <c r="AF20" s="247" t="str">
        <f>IF(AND('Mapa final'!$H$52="Alta",'Mapa final'!$L$52="Mayor"),CONCATENATE("R",'Mapa final'!$A$52),"")</f>
        <v/>
      </c>
      <c r="AG20" s="232"/>
      <c r="AH20" s="248" t="e">
        <f>IF(AND('Mapa final'!#REF!="Alta",'Mapa final'!#REF!="Catastrófico"),CONCATENATE("R",'Mapa final'!#REF!),"")</f>
        <v>#REF!</v>
      </c>
      <c r="AI20" s="244"/>
      <c r="AJ20" s="249" t="str">
        <f>IF(AND('Mapa final'!$H$46="Alta",'Mapa final'!$L$46="Catastrófico"),CONCATENATE("R",'Mapa final'!$A$46),"")</f>
        <v/>
      </c>
      <c r="AK20" s="244"/>
      <c r="AL20" s="249" t="str">
        <f>IF(AND('Mapa final'!$H$52="Alta",'Mapa final'!$L$52="Catastrófico"),CONCATENATE("R",'Mapa final'!$A$52),"")</f>
        <v/>
      </c>
      <c r="AM20" s="232"/>
      <c r="AN20" s="1"/>
      <c r="AO20" s="272"/>
      <c r="AP20" s="218"/>
      <c r="AQ20" s="218"/>
      <c r="AR20" s="218"/>
      <c r="AS20" s="218"/>
      <c r="AT20" s="273"/>
    </row>
    <row r="21" spans="2:46" ht="15.75" customHeight="1" x14ac:dyDescent="0.35">
      <c r="B21" s="263"/>
      <c r="C21" s="218"/>
      <c r="D21" s="219"/>
      <c r="E21" s="253"/>
      <c r="F21" s="254"/>
      <c r="G21" s="254"/>
      <c r="H21" s="254"/>
      <c r="I21" s="254"/>
      <c r="J21" s="253"/>
      <c r="K21" s="255"/>
      <c r="L21" s="256"/>
      <c r="M21" s="255"/>
      <c r="N21" s="256"/>
      <c r="O21" s="257"/>
      <c r="P21" s="253"/>
      <c r="Q21" s="255"/>
      <c r="R21" s="256"/>
      <c r="S21" s="255"/>
      <c r="T21" s="256"/>
      <c r="U21" s="257"/>
      <c r="V21" s="253"/>
      <c r="W21" s="255"/>
      <c r="X21" s="256"/>
      <c r="Y21" s="255"/>
      <c r="Z21" s="256"/>
      <c r="AA21" s="257"/>
      <c r="AB21" s="253"/>
      <c r="AC21" s="255"/>
      <c r="AD21" s="256"/>
      <c r="AE21" s="255"/>
      <c r="AF21" s="256"/>
      <c r="AG21" s="257"/>
      <c r="AH21" s="253"/>
      <c r="AI21" s="255"/>
      <c r="AJ21" s="256"/>
      <c r="AK21" s="255"/>
      <c r="AL21" s="256"/>
      <c r="AM21" s="257"/>
      <c r="AN21" s="1"/>
      <c r="AO21" s="274"/>
      <c r="AP21" s="275"/>
      <c r="AQ21" s="275"/>
      <c r="AR21" s="275"/>
      <c r="AS21" s="275"/>
      <c r="AT21" s="276"/>
    </row>
    <row r="22" spans="2:46" ht="15.75" customHeight="1" x14ac:dyDescent="0.35">
      <c r="B22" s="263"/>
      <c r="C22" s="218"/>
      <c r="D22" s="219"/>
      <c r="E22" s="251" t="s">
        <v>99</v>
      </c>
      <c r="F22" s="252"/>
      <c r="G22" s="252"/>
      <c r="H22" s="252"/>
      <c r="I22" s="238"/>
      <c r="J22" s="250" t="str">
        <f>IF(AND('Mapa final'!$H$16="Media",'Mapa final'!$L$16="Leve"),CONCATENATE("R",'Mapa final'!$A$16),"")</f>
        <v/>
      </c>
      <c r="K22" s="236"/>
      <c r="L22" s="235" t="str">
        <f>IF(AND('Mapa final'!$H$21="Media",'Mapa final'!$L$21="Leve"),CONCATENATE("R",'Mapa final'!$A$21),"")</f>
        <v/>
      </c>
      <c r="M22" s="236"/>
      <c r="N22" s="235" t="str">
        <f>IF(AND('Mapa final'!$H$26="Media",'Mapa final'!$L$26="Leve"),CONCATENATE("R",'Mapa final'!$A$26),"")</f>
        <v/>
      </c>
      <c r="O22" s="238"/>
      <c r="P22" s="250" t="str">
        <f>IF(AND('Mapa final'!$H$16="Media",'Mapa final'!$L$16="Menor"),CONCATENATE("R",'Mapa final'!$A$16),"")</f>
        <v/>
      </c>
      <c r="Q22" s="236"/>
      <c r="R22" s="235" t="str">
        <f>IF(AND('Mapa final'!$H$21="Media",'Mapa final'!$L$21="Menor"),CONCATENATE("R",'Mapa final'!$A$21),"")</f>
        <v/>
      </c>
      <c r="S22" s="236"/>
      <c r="T22" s="235" t="str">
        <f>IF(AND('Mapa final'!$H$26="Media",'Mapa final'!$L$26="Menor"),CONCATENATE("R",'Mapa final'!$A$26),"")</f>
        <v/>
      </c>
      <c r="U22" s="238"/>
      <c r="V22" s="250" t="str">
        <f>IF(AND('Mapa final'!$H$16="Media",'Mapa final'!$L$16="Moderado"),CONCATENATE("R",'Mapa final'!$A$16),"")</f>
        <v/>
      </c>
      <c r="W22" s="236"/>
      <c r="X22" s="235" t="str">
        <f>IF(AND('Mapa final'!$H$21="Media",'Mapa final'!$L$21="Moderado"),CONCATENATE("R",'Mapa final'!$A$21),"")</f>
        <v/>
      </c>
      <c r="Y22" s="236"/>
      <c r="Z22" s="235" t="str">
        <f>IF(AND('Mapa final'!$H$26="Media",'Mapa final'!$L$26="Moderado"),CONCATENATE("R",'Mapa final'!$A$26),"")</f>
        <v/>
      </c>
      <c r="AA22" s="238"/>
      <c r="AB22" s="239" t="str">
        <f>IF(AND('Mapa final'!$H$16="Media",'Mapa final'!$L$16="Mayor"),CONCATENATE("R",'Mapa final'!$A$16),"")</f>
        <v/>
      </c>
      <c r="AC22" s="236"/>
      <c r="AD22" s="241" t="str">
        <f>IF(AND('Mapa final'!$H$21="Media",'Mapa final'!$L$21="Mayor"),CONCATENATE("R",'Mapa final'!$A$21),"")</f>
        <v/>
      </c>
      <c r="AE22" s="236"/>
      <c r="AF22" s="241" t="str">
        <f>IF(AND('Mapa final'!$H$26="Media",'Mapa final'!$L$26="Mayor"),CONCATENATE("R",'Mapa final'!$A$26),"")</f>
        <v/>
      </c>
      <c r="AG22" s="238"/>
      <c r="AH22" s="258" t="str">
        <f>IF(AND('Mapa final'!$H$16="Media",'Mapa final'!$L$16="Catastrófico"),CONCATENATE("R",'Mapa final'!$A$16),"")</f>
        <v/>
      </c>
      <c r="AI22" s="236"/>
      <c r="AJ22" s="242" t="str">
        <f>IF(AND('Mapa final'!$H$21="Media",'Mapa final'!$L$21="Catastrófico"),CONCATENATE("R",'Mapa final'!$A$21),"")</f>
        <v/>
      </c>
      <c r="AK22" s="236"/>
      <c r="AL22" s="242" t="str">
        <f>IF(AND('Mapa final'!$H$26="Media",'Mapa final'!$L$26="Catastrófico"),CONCATENATE("R",'Mapa final'!$A$26),"")</f>
        <v/>
      </c>
      <c r="AM22" s="238"/>
      <c r="AN22" s="1"/>
      <c r="AO22" s="279" t="s">
        <v>100</v>
      </c>
      <c r="AP22" s="270"/>
      <c r="AQ22" s="270"/>
      <c r="AR22" s="270"/>
      <c r="AS22" s="270"/>
      <c r="AT22" s="271"/>
    </row>
    <row r="23" spans="2:46" ht="15.75" customHeight="1" x14ac:dyDescent="0.35">
      <c r="B23" s="263"/>
      <c r="C23" s="218"/>
      <c r="D23" s="219"/>
      <c r="E23" s="230"/>
      <c r="F23" s="218"/>
      <c r="G23" s="218"/>
      <c r="H23" s="218"/>
      <c r="I23" s="219"/>
      <c r="J23" s="240"/>
      <c r="K23" s="237"/>
      <c r="L23" s="233"/>
      <c r="M23" s="237"/>
      <c r="N23" s="233"/>
      <c r="O23" s="234"/>
      <c r="P23" s="240"/>
      <c r="Q23" s="237"/>
      <c r="R23" s="233"/>
      <c r="S23" s="237"/>
      <c r="T23" s="233"/>
      <c r="U23" s="234"/>
      <c r="V23" s="240"/>
      <c r="W23" s="237"/>
      <c r="X23" s="233"/>
      <c r="Y23" s="237"/>
      <c r="Z23" s="233"/>
      <c r="AA23" s="234"/>
      <c r="AB23" s="240"/>
      <c r="AC23" s="237"/>
      <c r="AD23" s="233"/>
      <c r="AE23" s="237"/>
      <c r="AF23" s="233"/>
      <c r="AG23" s="234"/>
      <c r="AH23" s="240"/>
      <c r="AI23" s="237"/>
      <c r="AJ23" s="233"/>
      <c r="AK23" s="237"/>
      <c r="AL23" s="233"/>
      <c r="AM23" s="234"/>
      <c r="AN23" s="1"/>
      <c r="AO23" s="272"/>
      <c r="AP23" s="218"/>
      <c r="AQ23" s="218"/>
      <c r="AR23" s="218"/>
      <c r="AS23" s="218"/>
      <c r="AT23" s="273"/>
    </row>
    <row r="24" spans="2:46" ht="15.75" customHeight="1" x14ac:dyDescent="0.35">
      <c r="B24" s="263"/>
      <c r="C24" s="218"/>
      <c r="D24" s="219"/>
      <c r="E24" s="230"/>
      <c r="F24" s="218"/>
      <c r="G24" s="218"/>
      <c r="H24" s="218"/>
      <c r="I24" s="219"/>
      <c r="J24" s="245" t="str">
        <f>IF(AND('Mapa final'!$H$31="Media",'Mapa final'!$L$31="Leve"),CONCATENATE("R",'Mapa final'!$A$31),"")</f>
        <v/>
      </c>
      <c r="K24" s="244"/>
      <c r="L24" s="231" t="str">
        <f>IF(AND('Mapa final'!$H$36="Media",'Mapa final'!$L$36="Leve"),CONCATENATE("R",'Mapa final'!$A$36),"")</f>
        <v/>
      </c>
      <c r="M24" s="244"/>
      <c r="N24" s="231" t="str">
        <f>IF(AND('Mapa final'!$H$41="Media",'Mapa final'!$L$41="Leve"),CONCATENATE("R",'Mapa final'!$A$41),"")</f>
        <v/>
      </c>
      <c r="O24" s="232"/>
      <c r="P24" s="245" t="str">
        <f>IF(AND('Mapa final'!$H$31="Media",'Mapa final'!$L$31="Menor"),CONCATENATE("R",'Mapa final'!$A$31),"")</f>
        <v/>
      </c>
      <c r="Q24" s="244"/>
      <c r="R24" s="231" t="str">
        <f>IF(AND('Mapa final'!$H$36="Media",'Mapa final'!$L$36="Menor"),CONCATENATE("R",'Mapa final'!$A$36),"")</f>
        <v/>
      </c>
      <c r="S24" s="244"/>
      <c r="T24" s="231" t="str">
        <f>IF(AND('Mapa final'!$H$41="Media",'Mapa final'!$L$41="Menor"),CONCATENATE("R",'Mapa final'!$A$41),"")</f>
        <v/>
      </c>
      <c r="U24" s="232"/>
      <c r="V24" s="245" t="str">
        <f>IF(AND('Mapa final'!$H$31="Media",'Mapa final'!$L$31="Moderado"),CONCATENATE("R",'Mapa final'!$A$31),"")</f>
        <v/>
      </c>
      <c r="W24" s="244"/>
      <c r="X24" s="231" t="str">
        <f>IF(AND('Mapa final'!$H$36="Media",'Mapa final'!$L$36="Moderado"),CONCATENATE("R",'Mapa final'!$A$36),"")</f>
        <v/>
      </c>
      <c r="Y24" s="244"/>
      <c r="Z24" s="231" t="str">
        <f>IF(AND('Mapa final'!$H$41="Media",'Mapa final'!$L$41="Moderado"),CONCATENATE("R",'Mapa final'!$A$41),"")</f>
        <v/>
      </c>
      <c r="AA24" s="232"/>
      <c r="AB24" s="246" t="str">
        <f>IF(AND('Mapa final'!$H$31="Media",'Mapa final'!$L$31="Mayor"),CONCATENATE("R",'Mapa final'!$A$31),"")</f>
        <v/>
      </c>
      <c r="AC24" s="244"/>
      <c r="AD24" s="247" t="str">
        <f>IF(AND('Mapa final'!$H$36="Media",'Mapa final'!$L$36="Mayor"),CONCATENATE("R",'Mapa final'!$A$36),"")</f>
        <v/>
      </c>
      <c r="AE24" s="244"/>
      <c r="AF24" s="247" t="str">
        <f>IF(AND('Mapa final'!$H$41="Media",'Mapa final'!$L$41="Mayor"),CONCATENATE("R",'Mapa final'!$A$41),"")</f>
        <v/>
      </c>
      <c r="AG24" s="232"/>
      <c r="AH24" s="248" t="str">
        <f>IF(AND('Mapa final'!$H$31="Media",'Mapa final'!$L$31="Catastrófico"),CONCATENATE("R",'Mapa final'!$A$31),"")</f>
        <v/>
      </c>
      <c r="AI24" s="244"/>
      <c r="AJ24" s="249" t="str">
        <f>IF(AND('Mapa final'!$H$36="Media",'Mapa final'!$L$36="Catastrófico"),CONCATENATE("R",'Mapa final'!$A$36),"")</f>
        <v/>
      </c>
      <c r="AK24" s="244"/>
      <c r="AL24" s="249" t="str">
        <f>IF(AND('Mapa final'!$H$41="Media",'Mapa final'!$L$41="Catastrófico"),CONCATENATE("R",'Mapa final'!$A$41),"")</f>
        <v/>
      </c>
      <c r="AM24" s="232"/>
      <c r="AN24" s="1"/>
      <c r="AO24" s="272"/>
      <c r="AP24" s="218"/>
      <c r="AQ24" s="218"/>
      <c r="AR24" s="218"/>
      <c r="AS24" s="218"/>
      <c r="AT24" s="273"/>
    </row>
    <row r="25" spans="2:46" ht="15.75" customHeight="1" x14ac:dyDescent="0.35">
      <c r="B25" s="263"/>
      <c r="C25" s="218"/>
      <c r="D25" s="219"/>
      <c r="E25" s="230"/>
      <c r="F25" s="218"/>
      <c r="G25" s="218"/>
      <c r="H25" s="218"/>
      <c r="I25" s="219"/>
      <c r="J25" s="240"/>
      <c r="K25" s="237"/>
      <c r="L25" s="233"/>
      <c r="M25" s="237"/>
      <c r="N25" s="233"/>
      <c r="O25" s="234"/>
      <c r="P25" s="240"/>
      <c r="Q25" s="237"/>
      <c r="R25" s="233"/>
      <c r="S25" s="237"/>
      <c r="T25" s="233"/>
      <c r="U25" s="234"/>
      <c r="V25" s="240"/>
      <c r="W25" s="237"/>
      <c r="X25" s="233"/>
      <c r="Y25" s="237"/>
      <c r="Z25" s="233"/>
      <c r="AA25" s="234"/>
      <c r="AB25" s="240"/>
      <c r="AC25" s="237"/>
      <c r="AD25" s="233"/>
      <c r="AE25" s="237"/>
      <c r="AF25" s="233"/>
      <c r="AG25" s="234"/>
      <c r="AH25" s="240"/>
      <c r="AI25" s="237"/>
      <c r="AJ25" s="233"/>
      <c r="AK25" s="237"/>
      <c r="AL25" s="233"/>
      <c r="AM25" s="234"/>
      <c r="AN25" s="1"/>
      <c r="AO25" s="272"/>
      <c r="AP25" s="218"/>
      <c r="AQ25" s="218"/>
      <c r="AR25" s="218"/>
      <c r="AS25" s="218"/>
      <c r="AT25" s="273"/>
    </row>
    <row r="26" spans="2:46" ht="15.75" customHeight="1" x14ac:dyDescent="0.35">
      <c r="B26" s="263"/>
      <c r="C26" s="218"/>
      <c r="D26" s="219"/>
      <c r="E26" s="230"/>
      <c r="F26" s="218"/>
      <c r="G26" s="218"/>
      <c r="H26" s="218"/>
      <c r="I26" s="219"/>
      <c r="J26" s="245" t="e">
        <f>IF(AND('Mapa final'!#REF!="Media",'Mapa final'!#REF!="Leve"),CONCATENATE("R",'Mapa final'!#REF!),"")</f>
        <v>#REF!</v>
      </c>
      <c r="K26" s="244"/>
      <c r="L26" s="231" t="e">
        <f>IF(AND('Mapa final'!#REF!="Media",'Mapa final'!#REF!="Leve"),CONCATENATE("R",'Mapa final'!#REF!),"")</f>
        <v>#REF!</v>
      </c>
      <c r="M26" s="244"/>
      <c r="N26" s="231" t="e">
        <f>IF(AND('Mapa final'!#REF!="Media",'Mapa final'!#REF!="Leve"),CONCATENATE("R",'Mapa final'!#REF!),"")</f>
        <v>#REF!</v>
      </c>
      <c r="O26" s="232"/>
      <c r="P26" s="245" t="e">
        <f>IF(AND('Mapa final'!#REF!="Media",'Mapa final'!#REF!="Menor"),CONCATENATE("R",'Mapa final'!#REF!),"")</f>
        <v>#REF!</v>
      </c>
      <c r="Q26" s="244"/>
      <c r="R26" s="231" t="e">
        <f>IF(AND('Mapa final'!#REF!="Media",'Mapa final'!#REF!="Menor"),CONCATENATE("R",'Mapa final'!#REF!),"")</f>
        <v>#REF!</v>
      </c>
      <c r="S26" s="244"/>
      <c r="T26" s="231" t="e">
        <f>IF(AND('Mapa final'!#REF!="Media",'Mapa final'!#REF!="Menor"),CONCATENATE("R",'Mapa final'!#REF!),"")</f>
        <v>#REF!</v>
      </c>
      <c r="U26" s="232"/>
      <c r="V26" s="245" t="e">
        <f>IF(AND('Mapa final'!#REF!="Media",'Mapa final'!#REF!="Moderado"),CONCATENATE("R",'Mapa final'!#REF!),"")</f>
        <v>#REF!</v>
      </c>
      <c r="W26" s="244"/>
      <c r="X26" s="231" t="e">
        <f>IF(AND('Mapa final'!#REF!="Media",'Mapa final'!#REF!="Moderado"),CONCATENATE("R",'Mapa final'!#REF!),"")</f>
        <v>#REF!</v>
      </c>
      <c r="Y26" s="244"/>
      <c r="Z26" s="231" t="e">
        <f>IF(AND('Mapa final'!#REF!="Media",'Mapa final'!#REF!="Moderado"),CONCATENATE("R",'Mapa final'!#REF!),"")</f>
        <v>#REF!</v>
      </c>
      <c r="AA26" s="232"/>
      <c r="AB26" s="246" t="e">
        <f>IF(AND('Mapa final'!#REF!="Media",'Mapa final'!#REF!="Mayor"),CONCATENATE("R",'Mapa final'!#REF!),"")</f>
        <v>#REF!</v>
      </c>
      <c r="AC26" s="244"/>
      <c r="AD26" s="247" t="e">
        <f>IF(AND('Mapa final'!#REF!="Media",'Mapa final'!#REF!="Mayor"),CONCATENATE("R",'Mapa final'!#REF!),"")</f>
        <v>#REF!</v>
      </c>
      <c r="AE26" s="244"/>
      <c r="AF26" s="247" t="e">
        <f>IF(AND('Mapa final'!#REF!="Media",'Mapa final'!#REF!="Mayor"),CONCATENATE("R",'Mapa final'!#REF!),"")</f>
        <v>#REF!</v>
      </c>
      <c r="AG26" s="232"/>
      <c r="AH26" s="248" t="e">
        <f>IF(AND('Mapa final'!#REF!="Media",'Mapa final'!#REF!="Catastrófico"),CONCATENATE("R",'Mapa final'!#REF!),"")</f>
        <v>#REF!</v>
      </c>
      <c r="AI26" s="244"/>
      <c r="AJ26" s="249" t="e">
        <f>IF(AND('Mapa final'!#REF!="Media",'Mapa final'!#REF!="Catastrófico"),CONCATENATE("R",'Mapa final'!#REF!),"")</f>
        <v>#REF!</v>
      </c>
      <c r="AK26" s="244"/>
      <c r="AL26" s="249" t="e">
        <f>IF(AND('Mapa final'!#REF!="Media",'Mapa final'!#REF!="Catastrófico"),CONCATENATE("R",'Mapa final'!#REF!),"")</f>
        <v>#REF!</v>
      </c>
      <c r="AM26" s="232"/>
      <c r="AN26" s="1"/>
      <c r="AO26" s="272"/>
      <c r="AP26" s="218"/>
      <c r="AQ26" s="218"/>
      <c r="AR26" s="218"/>
      <c r="AS26" s="218"/>
      <c r="AT26" s="273"/>
    </row>
    <row r="27" spans="2:46" ht="15.75" customHeight="1" x14ac:dyDescent="0.35">
      <c r="B27" s="263"/>
      <c r="C27" s="218"/>
      <c r="D27" s="219"/>
      <c r="E27" s="230"/>
      <c r="F27" s="218"/>
      <c r="G27" s="218"/>
      <c r="H27" s="218"/>
      <c r="I27" s="219"/>
      <c r="J27" s="240"/>
      <c r="K27" s="237"/>
      <c r="L27" s="233"/>
      <c r="M27" s="237"/>
      <c r="N27" s="233"/>
      <c r="O27" s="234"/>
      <c r="P27" s="240"/>
      <c r="Q27" s="237"/>
      <c r="R27" s="233"/>
      <c r="S27" s="237"/>
      <c r="T27" s="233"/>
      <c r="U27" s="234"/>
      <c r="V27" s="240"/>
      <c r="W27" s="237"/>
      <c r="X27" s="233"/>
      <c r="Y27" s="237"/>
      <c r="Z27" s="233"/>
      <c r="AA27" s="234"/>
      <c r="AB27" s="240"/>
      <c r="AC27" s="237"/>
      <c r="AD27" s="233"/>
      <c r="AE27" s="237"/>
      <c r="AF27" s="233"/>
      <c r="AG27" s="234"/>
      <c r="AH27" s="240"/>
      <c r="AI27" s="237"/>
      <c r="AJ27" s="233"/>
      <c r="AK27" s="237"/>
      <c r="AL27" s="233"/>
      <c r="AM27" s="234"/>
      <c r="AN27" s="1"/>
      <c r="AO27" s="272"/>
      <c r="AP27" s="218"/>
      <c r="AQ27" s="218"/>
      <c r="AR27" s="218"/>
      <c r="AS27" s="218"/>
      <c r="AT27" s="273"/>
    </row>
    <row r="28" spans="2:46" ht="15.75" customHeight="1" x14ac:dyDescent="0.35">
      <c r="B28" s="263"/>
      <c r="C28" s="218"/>
      <c r="D28" s="219"/>
      <c r="E28" s="230"/>
      <c r="F28" s="218"/>
      <c r="G28" s="218"/>
      <c r="H28" s="218"/>
      <c r="I28" s="219"/>
      <c r="J28" s="245" t="e">
        <f>IF(AND('Mapa final'!#REF!="Media",'Mapa final'!#REF!="Leve"),CONCATENATE("R",'Mapa final'!#REF!),"")</f>
        <v>#REF!</v>
      </c>
      <c r="K28" s="244"/>
      <c r="L28" s="231" t="str">
        <f>IF(AND('Mapa final'!$H$46="Media",'Mapa final'!$L$46="Leve"),CONCATENATE("R",'Mapa final'!$A$46),"")</f>
        <v/>
      </c>
      <c r="M28" s="244"/>
      <c r="N28" s="231" t="str">
        <f>IF(AND('Mapa final'!$H$52="Media",'Mapa final'!$L$52="Leve"),CONCATENATE("R",'Mapa final'!$A$52),"")</f>
        <v/>
      </c>
      <c r="O28" s="232"/>
      <c r="P28" s="245" t="e">
        <f>IF(AND('Mapa final'!#REF!="Media",'Mapa final'!#REF!="Menor"),CONCATENATE("R",'Mapa final'!#REF!),"")</f>
        <v>#REF!</v>
      </c>
      <c r="Q28" s="244"/>
      <c r="R28" s="231" t="str">
        <f>IF(AND('Mapa final'!$H$46="Media",'Mapa final'!$L$46="Menor"),CONCATENATE("R",'Mapa final'!$A$46),"")</f>
        <v/>
      </c>
      <c r="S28" s="244"/>
      <c r="T28" s="231" t="str">
        <f>IF(AND('Mapa final'!$H$52="Media",'Mapa final'!$L$52="Menor"),CONCATENATE("R",'Mapa final'!$A$52),"")</f>
        <v/>
      </c>
      <c r="U28" s="232"/>
      <c r="V28" s="245" t="e">
        <f>IF(AND('Mapa final'!#REF!="Media",'Mapa final'!#REF!="Moderado"),CONCATENATE("R",'Mapa final'!#REF!),"")</f>
        <v>#REF!</v>
      </c>
      <c r="W28" s="244"/>
      <c r="X28" s="231" t="str">
        <f>IF(AND('Mapa final'!$H$46="Media",'Mapa final'!$L$46="Moderado"),CONCATENATE("R",'Mapa final'!$A$46),"")</f>
        <v/>
      </c>
      <c r="Y28" s="244"/>
      <c r="Z28" s="231" t="str">
        <f>IF(AND('Mapa final'!$H$52="Media",'Mapa final'!$L$52="Moderado"),CONCATENATE("R",'Mapa final'!$A$52),"")</f>
        <v/>
      </c>
      <c r="AA28" s="232"/>
      <c r="AB28" s="246" t="e">
        <f>IF(AND('Mapa final'!#REF!="Media",'Mapa final'!#REF!="Mayor"),CONCATENATE("R",'Mapa final'!#REF!),"")</f>
        <v>#REF!</v>
      </c>
      <c r="AC28" s="244"/>
      <c r="AD28" s="247" t="str">
        <f>IF(AND('Mapa final'!$H$46="Media",'Mapa final'!$L$46="Mayor"),CONCATENATE("R",'Mapa final'!$A$46),"")</f>
        <v/>
      </c>
      <c r="AE28" s="244"/>
      <c r="AF28" s="247" t="str">
        <f>IF(AND('Mapa final'!$H$52="Media",'Mapa final'!$L$52="Mayor"),CONCATENATE("R",'Mapa final'!$A$52),"")</f>
        <v/>
      </c>
      <c r="AG28" s="232"/>
      <c r="AH28" s="248" t="e">
        <f>IF(AND('Mapa final'!#REF!="Media",'Mapa final'!#REF!="Catastrófico"),CONCATENATE("R",'Mapa final'!#REF!),"")</f>
        <v>#REF!</v>
      </c>
      <c r="AI28" s="244"/>
      <c r="AJ28" s="249" t="str">
        <f>IF(AND('Mapa final'!$H$46="Media",'Mapa final'!$L$46="Catastrófico"),CONCATENATE("R",'Mapa final'!$A$46),"")</f>
        <v/>
      </c>
      <c r="AK28" s="244"/>
      <c r="AL28" s="249" t="str">
        <f>IF(AND('Mapa final'!$H$52="Media",'Mapa final'!$L$52="Catastrófico"),CONCATENATE("R",'Mapa final'!$A$52),"")</f>
        <v/>
      </c>
      <c r="AM28" s="232"/>
      <c r="AN28" s="1"/>
      <c r="AO28" s="272"/>
      <c r="AP28" s="218"/>
      <c r="AQ28" s="218"/>
      <c r="AR28" s="218"/>
      <c r="AS28" s="218"/>
      <c r="AT28" s="273"/>
    </row>
    <row r="29" spans="2:46" ht="15.75" customHeight="1" x14ac:dyDescent="0.35">
      <c r="B29" s="263"/>
      <c r="C29" s="218"/>
      <c r="D29" s="219"/>
      <c r="E29" s="253"/>
      <c r="F29" s="254"/>
      <c r="G29" s="254"/>
      <c r="H29" s="254"/>
      <c r="I29" s="257"/>
      <c r="J29" s="240"/>
      <c r="K29" s="237"/>
      <c r="L29" s="233"/>
      <c r="M29" s="237"/>
      <c r="N29" s="233"/>
      <c r="O29" s="234"/>
      <c r="P29" s="253"/>
      <c r="Q29" s="255"/>
      <c r="R29" s="256"/>
      <c r="S29" s="255"/>
      <c r="T29" s="256"/>
      <c r="U29" s="257"/>
      <c r="V29" s="253"/>
      <c r="W29" s="255"/>
      <c r="X29" s="256"/>
      <c r="Y29" s="255"/>
      <c r="Z29" s="256"/>
      <c r="AA29" s="257"/>
      <c r="AB29" s="253"/>
      <c r="AC29" s="255"/>
      <c r="AD29" s="256"/>
      <c r="AE29" s="255"/>
      <c r="AF29" s="256"/>
      <c r="AG29" s="257"/>
      <c r="AH29" s="253"/>
      <c r="AI29" s="255"/>
      <c r="AJ29" s="256"/>
      <c r="AK29" s="255"/>
      <c r="AL29" s="256"/>
      <c r="AM29" s="257"/>
      <c r="AN29" s="1"/>
      <c r="AO29" s="274"/>
      <c r="AP29" s="275"/>
      <c r="AQ29" s="275"/>
      <c r="AR29" s="275"/>
      <c r="AS29" s="275"/>
      <c r="AT29" s="276"/>
    </row>
    <row r="30" spans="2:46" ht="15.75" customHeight="1" x14ac:dyDescent="0.35">
      <c r="B30" s="263"/>
      <c r="C30" s="218"/>
      <c r="D30" s="219"/>
      <c r="E30" s="251" t="s">
        <v>101</v>
      </c>
      <c r="F30" s="252"/>
      <c r="G30" s="252"/>
      <c r="H30" s="252"/>
      <c r="I30" s="252"/>
      <c r="J30" s="268" t="str">
        <f>IF(AND('Mapa final'!$H$16="Baja",'Mapa final'!$L$16="Leve"),CONCATENATE("R",'Mapa final'!$A$16),"")</f>
        <v/>
      </c>
      <c r="K30" s="236"/>
      <c r="L30" s="267" t="str">
        <f>IF(AND('Mapa final'!$H$21="Baja",'Mapa final'!$L$21="Leve"),CONCATENATE("R",'Mapa final'!$A$21),"")</f>
        <v/>
      </c>
      <c r="M30" s="236"/>
      <c r="N30" s="267" t="str">
        <f>IF(AND('Mapa final'!$H$26="Baja",'Mapa final'!$L$26="Leve"),CONCATENATE("R",'Mapa final'!$A$26),"")</f>
        <v/>
      </c>
      <c r="O30" s="238"/>
      <c r="P30" s="235" t="str">
        <f>IF(AND('Mapa final'!$H$16="Baja",'Mapa final'!$L$16="Menor"),CONCATENATE("R",'Mapa final'!$A$16),"")</f>
        <v/>
      </c>
      <c r="Q30" s="236"/>
      <c r="R30" s="235" t="str">
        <f>IF(AND('Mapa final'!$H$21="Baja",'Mapa final'!$L$21="Menor"),CONCATENATE("R",'Mapa final'!$A$21),"")</f>
        <v/>
      </c>
      <c r="S30" s="236"/>
      <c r="T30" s="235" t="str">
        <f>IF(AND('Mapa final'!$H$26="Baja",'Mapa final'!$L$26="Menor"),CONCATENATE("R",'Mapa final'!$A$26),"")</f>
        <v/>
      </c>
      <c r="U30" s="238"/>
      <c r="V30" s="250" t="str">
        <f>IF(AND('Mapa final'!$H$16="Baja",'Mapa final'!$L$16="Moderado"),CONCATENATE("R",'Mapa final'!$A$16),"")</f>
        <v/>
      </c>
      <c r="W30" s="236"/>
      <c r="X30" s="235" t="str">
        <f>IF(AND('Mapa final'!$H$21="Baja",'Mapa final'!$L$21="Moderado"),CONCATENATE("R",'Mapa final'!$A$21),"")</f>
        <v>R2</v>
      </c>
      <c r="Y30" s="236"/>
      <c r="Z30" s="235" t="str">
        <f>IF(AND('Mapa final'!$H$26="Baja",'Mapa final'!$L$26="Moderado"),CONCATENATE("R",'Mapa final'!$A$26),"")</f>
        <v>R3</v>
      </c>
      <c r="AA30" s="238"/>
      <c r="AB30" s="239" t="str">
        <f>IF(AND('Mapa final'!$H$16="Baja",'Mapa final'!$L$16="Mayor"),CONCATENATE("R",'Mapa final'!$A$16),"")</f>
        <v/>
      </c>
      <c r="AC30" s="236"/>
      <c r="AD30" s="241" t="str">
        <f>IF(AND('Mapa final'!$H$21="Baja",'Mapa final'!$L$21="Mayor"),CONCATENATE("R",'Mapa final'!$A$21),"")</f>
        <v/>
      </c>
      <c r="AE30" s="236"/>
      <c r="AF30" s="241" t="str">
        <f>IF(AND('Mapa final'!$H$26="Baja",'Mapa final'!$L$26="Mayor"),CONCATENATE("R",'Mapa final'!$A$26),"")</f>
        <v/>
      </c>
      <c r="AG30" s="238"/>
      <c r="AH30" s="258" t="str">
        <f>IF(AND('Mapa final'!$H$16="Baja",'Mapa final'!$L$16="Catastrófico"),CONCATENATE("R",'Mapa final'!$A$16),"")</f>
        <v/>
      </c>
      <c r="AI30" s="236"/>
      <c r="AJ30" s="242" t="str">
        <f>IF(AND('Mapa final'!$H$21="Baja",'Mapa final'!$L$21="Catastrófico"),CONCATENATE("R",'Mapa final'!$A$21),"")</f>
        <v/>
      </c>
      <c r="AK30" s="236"/>
      <c r="AL30" s="242" t="str">
        <f>IF(AND('Mapa final'!$H$26="Baja",'Mapa final'!$L$26="Catastrófico"),CONCATENATE("R",'Mapa final'!$A$26),"")</f>
        <v/>
      </c>
      <c r="AM30" s="238"/>
      <c r="AN30" s="1"/>
      <c r="AO30" s="277" t="s">
        <v>102</v>
      </c>
      <c r="AP30" s="270"/>
      <c r="AQ30" s="270"/>
      <c r="AR30" s="270"/>
      <c r="AS30" s="270"/>
      <c r="AT30" s="271"/>
    </row>
    <row r="31" spans="2:46" ht="15.75" customHeight="1" x14ac:dyDescent="0.35">
      <c r="B31" s="263"/>
      <c r="C31" s="218"/>
      <c r="D31" s="219"/>
      <c r="E31" s="230"/>
      <c r="F31" s="218"/>
      <c r="G31" s="218"/>
      <c r="H31" s="218"/>
      <c r="I31" s="218"/>
      <c r="J31" s="240"/>
      <c r="K31" s="237"/>
      <c r="L31" s="233"/>
      <c r="M31" s="237"/>
      <c r="N31" s="233"/>
      <c r="O31" s="234"/>
      <c r="P31" s="233"/>
      <c r="Q31" s="237"/>
      <c r="R31" s="233"/>
      <c r="S31" s="237"/>
      <c r="T31" s="233"/>
      <c r="U31" s="234"/>
      <c r="V31" s="240"/>
      <c r="W31" s="237"/>
      <c r="X31" s="233"/>
      <c r="Y31" s="237"/>
      <c r="Z31" s="233"/>
      <c r="AA31" s="234"/>
      <c r="AB31" s="240"/>
      <c r="AC31" s="237"/>
      <c r="AD31" s="233"/>
      <c r="AE31" s="237"/>
      <c r="AF31" s="233"/>
      <c r="AG31" s="234"/>
      <c r="AH31" s="240"/>
      <c r="AI31" s="237"/>
      <c r="AJ31" s="233"/>
      <c r="AK31" s="237"/>
      <c r="AL31" s="233"/>
      <c r="AM31" s="234"/>
      <c r="AN31" s="1"/>
      <c r="AO31" s="272"/>
      <c r="AP31" s="218"/>
      <c r="AQ31" s="218"/>
      <c r="AR31" s="218"/>
      <c r="AS31" s="218"/>
      <c r="AT31" s="273"/>
    </row>
    <row r="32" spans="2:46" ht="15.75" customHeight="1" x14ac:dyDescent="0.35">
      <c r="B32" s="263"/>
      <c r="C32" s="218"/>
      <c r="D32" s="219"/>
      <c r="E32" s="230"/>
      <c r="F32" s="218"/>
      <c r="G32" s="218"/>
      <c r="H32" s="218"/>
      <c r="I32" s="218"/>
      <c r="J32" s="259" t="str">
        <f>IF(AND('Mapa final'!$H$31="Baja",'Mapa final'!$L$31="Leve"),CONCATENATE("R",'Mapa final'!$A$31),"")</f>
        <v/>
      </c>
      <c r="K32" s="244"/>
      <c r="L32" s="243" t="str">
        <f>IF(AND('Mapa final'!$H$36="Baja",'Mapa final'!$L$36="Leve"),CONCATENATE("R",'Mapa final'!$A$36),"")</f>
        <v/>
      </c>
      <c r="M32" s="244"/>
      <c r="N32" s="243" t="str">
        <f>IF(AND('Mapa final'!$H$41="Baja",'Mapa final'!$L$41="Leve"),CONCATENATE("R",'Mapa final'!$A$41),"")</f>
        <v/>
      </c>
      <c r="O32" s="232"/>
      <c r="P32" s="231" t="str">
        <f>IF(AND('Mapa final'!$H$31="Baja",'Mapa final'!$L$31="Menor"),CONCATENATE("R",'Mapa final'!$A$31),"")</f>
        <v/>
      </c>
      <c r="Q32" s="244"/>
      <c r="R32" s="231" t="str">
        <f>IF(AND('Mapa final'!$H$36="Baja",'Mapa final'!$L$36="Menor"),CONCATENATE("R",'Mapa final'!$A$36),"")</f>
        <v/>
      </c>
      <c r="S32" s="244"/>
      <c r="T32" s="231" t="str">
        <f>IF(AND('Mapa final'!$H$41="Baja",'Mapa final'!$L$41="Menor"),CONCATENATE("R",'Mapa final'!$A$41),"")</f>
        <v/>
      </c>
      <c r="U32" s="232"/>
      <c r="V32" s="245" t="str">
        <f>IF(AND('Mapa final'!$H$31="Baja",'Mapa final'!$L$31="Moderado"),CONCATENATE("R",'Mapa final'!$A$31),"")</f>
        <v/>
      </c>
      <c r="W32" s="244"/>
      <c r="X32" s="231" t="str">
        <f>IF(AND('Mapa final'!$H$36="Baja",'Mapa final'!$L$36="Moderado"),CONCATENATE("R",'Mapa final'!$A$36),"")</f>
        <v/>
      </c>
      <c r="Y32" s="244"/>
      <c r="Z32" s="231" t="str">
        <f>IF(AND('Mapa final'!$H$41="Baja",'Mapa final'!$L$41="Moderado"),CONCATENATE("R",'Mapa final'!$A$41),"")</f>
        <v/>
      </c>
      <c r="AA32" s="232"/>
      <c r="AB32" s="246" t="str">
        <f>IF(AND('Mapa final'!$H$31="Baja",'Mapa final'!$L$31="Mayor"),CONCATENATE("R",'Mapa final'!$A$31),"")</f>
        <v/>
      </c>
      <c r="AC32" s="244"/>
      <c r="AD32" s="247" t="str">
        <f>IF(AND('Mapa final'!$H$36="Baja",'Mapa final'!$L$36="Mayor"),CONCATENATE("R",'Mapa final'!$A$36),"")</f>
        <v/>
      </c>
      <c r="AE32" s="244"/>
      <c r="AF32" s="247" t="str">
        <f>IF(AND('Mapa final'!$H$41="Baja",'Mapa final'!$L$41="Mayor"),CONCATENATE("R",'Mapa final'!$A$41),"")</f>
        <v/>
      </c>
      <c r="AG32" s="232"/>
      <c r="AH32" s="248" t="str">
        <f>IF(AND('Mapa final'!$H$31="Baja",'Mapa final'!$L$31="Catastrófico"),CONCATENATE("R",'Mapa final'!$A$31),"")</f>
        <v/>
      </c>
      <c r="AI32" s="244"/>
      <c r="AJ32" s="249" t="str">
        <f>IF(AND('Mapa final'!$H$36="Baja",'Mapa final'!$L$36="Catastrófico"),CONCATENATE("R",'Mapa final'!$A$36),"")</f>
        <v/>
      </c>
      <c r="AK32" s="244"/>
      <c r="AL32" s="249" t="str">
        <f>IF(AND('Mapa final'!$H$41="Baja",'Mapa final'!$L$41="Catastrófico"),CONCATENATE("R",'Mapa final'!$A$41),"")</f>
        <v/>
      </c>
      <c r="AM32" s="232"/>
      <c r="AN32" s="1"/>
      <c r="AO32" s="272"/>
      <c r="AP32" s="218"/>
      <c r="AQ32" s="218"/>
      <c r="AR32" s="218"/>
      <c r="AS32" s="218"/>
      <c r="AT32" s="273"/>
    </row>
    <row r="33" spans="2:46" ht="15.75" customHeight="1" x14ac:dyDescent="0.35">
      <c r="B33" s="263"/>
      <c r="C33" s="218"/>
      <c r="D33" s="219"/>
      <c r="E33" s="230"/>
      <c r="F33" s="218"/>
      <c r="G33" s="218"/>
      <c r="H33" s="218"/>
      <c r="I33" s="218"/>
      <c r="J33" s="240"/>
      <c r="K33" s="237"/>
      <c r="L33" s="233"/>
      <c r="M33" s="237"/>
      <c r="N33" s="233"/>
      <c r="O33" s="234"/>
      <c r="P33" s="233"/>
      <c r="Q33" s="237"/>
      <c r="R33" s="233"/>
      <c r="S33" s="237"/>
      <c r="T33" s="233"/>
      <c r="U33" s="234"/>
      <c r="V33" s="240"/>
      <c r="W33" s="237"/>
      <c r="X33" s="233"/>
      <c r="Y33" s="237"/>
      <c r="Z33" s="233"/>
      <c r="AA33" s="234"/>
      <c r="AB33" s="240"/>
      <c r="AC33" s="237"/>
      <c r="AD33" s="233"/>
      <c r="AE33" s="237"/>
      <c r="AF33" s="233"/>
      <c r="AG33" s="234"/>
      <c r="AH33" s="240"/>
      <c r="AI33" s="237"/>
      <c r="AJ33" s="233"/>
      <c r="AK33" s="237"/>
      <c r="AL33" s="233"/>
      <c r="AM33" s="234"/>
      <c r="AN33" s="1"/>
      <c r="AO33" s="272"/>
      <c r="AP33" s="218"/>
      <c r="AQ33" s="218"/>
      <c r="AR33" s="218"/>
      <c r="AS33" s="218"/>
      <c r="AT33" s="273"/>
    </row>
    <row r="34" spans="2:46" ht="15.75" customHeight="1" x14ac:dyDescent="0.35">
      <c r="B34" s="263"/>
      <c r="C34" s="218"/>
      <c r="D34" s="219"/>
      <c r="E34" s="230"/>
      <c r="F34" s="218"/>
      <c r="G34" s="218"/>
      <c r="H34" s="218"/>
      <c r="I34" s="218"/>
      <c r="J34" s="259" t="e">
        <f>IF(AND('Mapa final'!#REF!="Baja",'Mapa final'!#REF!="Leve"),CONCATENATE("R",'Mapa final'!#REF!),"")</f>
        <v>#REF!</v>
      </c>
      <c r="K34" s="244"/>
      <c r="L34" s="243" t="e">
        <f>IF(AND('Mapa final'!#REF!="Baja",'Mapa final'!#REF!="Leve"),CONCATENATE("R",'Mapa final'!#REF!),"")</f>
        <v>#REF!</v>
      </c>
      <c r="M34" s="244"/>
      <c r="N34" s="243" t="e">
        <f>IF(AND('Mapa final'!#REF!="Baja",'Mapa final'!#REF!="Leve"),CONCATENATE("R",'Mapa final'!#REF!),"")</f>
        <v>#REF!</v>
      </c>
      <c r="O34" s="232"/>
      <c r="P34" s="231" t="e">
        <f>IF(AND('Mapa final'!#REF!="Baja",'Mapa final'!#REF!="Menor"),CONCATENATE("R",'Mapa final'!#REF!),"")</f>
        <v>#REF!</v>
      </c>
      <c r="Q34" s="244"/>
      <c r="R34" s="231" t="e">
        <f>IF(AND('Mapa final'!#REF!="Baja",'Mapa final'!#REF!="Menor"),CONCATENATE("R",'Mapa final'!#REF!),"")</f>
        <v>#REF!</v>
      </c>
      <c r="S34" s="244"/>
      <c r="T34" s="231" t="e">
        <f>IF(AND('Mapa final'!#REF!="Baja",'Mapa final'!#REF!="Menor"),CONCATENATE("R",'Mapa final'!#REF!),"")</f>
        <v>#REF!</v>
      </c>
      <c r="U34" s="232"/>
      <c r="V34" s="245" t="e">
        <f>IF(AND('Mapa final'!#REF!="Baja",'Mapa final'!#REF!="Moderado"),CONCATENATE("R",'Mapa final'!#REF!),"")</f>
        <v>#REF!</v>
      </c>
      <c r="W34" s="244"/>
      <c r="X34" s="231" t="e">
        <f>IF(AND('Mapa final'!#REF!="Baja",'Mapa final'!#REF!="Moderado"),CONCATENATE("R",'Mapa final'!#REF!),"")</f>
        <v>#REF!</v>
      </c>
      <c r="Y34" s="244"/>
      <c r="Z34" s="231" t="e">
        <f>IF(AND('Mapa final'!#REF!="Baja",'Mapa final'!#REF!="Moderado"),CONCATENATE("R",'Mapa final'!#REF!),"")</f>
        <v>#REF!</v>
      </c>
      <c r="AA34" s="232"/>
      <c r="AB34" s="246" t="e">
        <f>IF(AND('Mapa final'!#REF!="Baja",'Mapa final'!#REF!="Mayor"),CONCATENATE("R",'Mapa final'!#REF!),"")</f>
        <v>#REF!</v>
      </c>
      <c r="AC34" s="244"/>
      <c r="AD34" s="247" t="e">
        <f>IF(AND('Mapa final'!#REF!="Baja",'Mapa final'!#REF!="Mayor"),CONCATENATE("R",'Mapa final'!#REF!),"")</f>
        <v>#REF!</v>
      </c>
      <c r="AE34" s="244"/>
      <c r="AF34" s="247" t="e">
        <f>IF(AND('Mapa final'!#REF!="Baja",'Mapa final'!#REF!="Mayor"),CONCATENATE("R",'Mapa final'!#REF!),"")</f>
        <v>#REF!</v>
      </c>
      <c r="AG34" s="232"/>
      <c r="AH34" s="248" t="e">
        <f>IF(AND('Mapa final'!#REF!="Baja",'Mapa final'!#REF!="Catastrófico"),CONCATENATE("R",'Mapa final'!#REF!),"")</f>
        <v>#REF!</v>
      </c>
      <c r="AI34" s="244"/>
      <c r="AJ34" s="249" t="e">
        <f>IF(AND('Mapa final'!#REF!="Baja",'Mapa final'!#REF!="Catastrófico"),CONCATENATE("R",'Mapa final'!#REF!),"")</f>
        <v>#REF!</v>
      </c>
      <c r="AK34" s="244"/>
      <c r="AL34" s="249" t="e">
        <f>IF(AND('Mapa final'!#REF!="Baja",'Mapa final'!#REF!="Catastrófico"),CONCATENATE("R",'Mapa final'!#REF!),"")</f>
        <v>#REF!</v>
      </c>
      <c r="AM34" s="232"/>
      <c r="AN34" s="1"/>
      <c r="AO34" s="272"/>
      <c r="AP34" s="218"/>
      <c r="AQ34" s="218"/>
      <c r="AR34" s="218"/>
      <c r="AS34" s="218"/>
      <c r="AT34" s="273"/>
    </row>
    <row r="35" spans="2:46" ht="15.75" customHeight="1" x14ac:dyDescent="0.35">
      <c r="B35" s="263"/>
      <c r="C35" s="218"/>
      <c r="D35" s="219"/>
      <c r="E35" s="230"/>
      <c r="F35" s="218"/>
      <c r="G35" s="218"/>
      <c r="H35" s="218"/>
      <c r="I35" s="218"/>
      <c r="J35" s="240"/>
      <c r="K35" s="237"/>
      <c r="L35" s="233"/>
      <c r="M35" s="237"/>
      <c r="N35" s="233"/>
      <c r="O35" s="234"/>
      <c r="P35" s="233"/>
      <c r="Q35" s="237"/>
      <c r="R35" s="233"/>
      <c r="S35" s="237"/>
      <c r="T35" s="233"/>
      <c r="U35" s="234"/>
      <c r="V35" s="240"/>
      <c r="W35" s="237"/>
      <c r="X35" s="233"/>
      <c r="Y35" s="237"/>
      <c r="Z35" s="233"/>
      <c r="AA35" s="234"/>
      <c r="AB35" s="240"/>
      <c r="AC35" s="237"/>
      <c r="AD35" s="233"/>
      <c r="AE35" s="237"/>
      <c r="AF35" s="233"/>
      <c r="AG35" s="234"/>
      <c r="AH35" s="240"/>
      <c r="AI35" s="237"/>
      <c r="AJ35" s="233"/>
      <c r="AK35" s="237"/>
      <c r="AL35" s="233"/>
      <c r="AM35" s="234"/>
      <c r="AN35" s="1"/>
      <c r="AO35" s="272"/>
      <c r="AP35" s="218"/>
      <c r="AQ35" s="218"/>
      <c r="AR35" s="218"/>
      <c r="AS35" s="218"/>
      <c r="AT35" s="273"/>
    </row>
    <row r="36" spans="2:46" ht="15.75" customHeight="1" x14ac:dyDescent="0.35">
      <c r="B36" s="263"/>
      <c r="C36" s="218"/>
      <c r="D36" s="219"/>
      <c r="E36" s="230"/>
      <c r="F36" s="218"/>
      <c r="G36" s="218"/>
      <c r="H36" s="218"/>
      <c r="I36" s="218"/>
      <c r="J36" s="259" t="e">
        <f>IF(AND('Mapa final'!#REF!="Baja",'Mapa final'!#REF!="Leve"),CONCATENATE("R",'Mapa final'!#REF!),"")</f>
        <v>#REF!</v>
      </c>
      <c r="K36" s="244"/>
      <c r="L36" s="243" t="str">
        <f>IF(AND('Mapa final'!$H$46="Baja",'Mapa final'!$L$46="Leve"),CONCATENATE("R",'Mapa final'!$A$46),"")</f>
        <v/>
      </c>
      <c r="M36" s="244"/>
      <c r="N36" s="243" t="str">
        <f>IF(AND('Mapa final'!$H$52="Baja",'Mapa final'!$L$52="Leve"),CONCATENATE("R",'Mapa final'!$A$52),"")</f>
        <v/>
      </c>
      <c r="O36" s="232"/>
      <c r="P36" s="231" t="e">
        <f>IF(AND('Mapa final'!#REF!="Baja",'Mapa final'!#REF!="Menor"),CONCATENATE("R",'Mapa final'!#REF!),"")</f>
        <v>#REF!</v>
      </c>
      <c r="Q36" s="244"/>
      <c r="R36" s="231" t="str">
        <f>IF(AND('Mapa final'!$H$46="Baja",'Mapa final'!$L$46="Menor"),CONCATENATE("R",'Mapa final'!$A$46),"")</f>
        <v/>
      </c>
      <c r="S36" s="244"/>
      <c r="T36" s="231" t="str">
        <f>IF(AND('Mapa final'!$H$52="Baja",'Mapa final'!$L$52="Menor"),CONCATENATE("R",'Mapa final'!$A$52),"")</f>
        <v/>
      </c>
      <c r="U36" s="232"/>
      <c r="V36" s="245" t="e">
        <f>IF(AND('Mapa final'!#REF!="Baja",'Mapa final'!#REF!="Moderado"),CONCATENATE("R",'Mapa final'!#REF!),"")</f>
        <v>#REF!</v>
      </c>
      <c r="W36" s="244"/>
      <c r="X36" s="231" t="str">
        <f>IF(AND('Mapa final'!$H$46="Baja",'Mapa final'!$L$46="Moderado"),CONCATENATE("R",'Mapa final'!$A$46),"")</f>
        <v/>
      </c>
      <c r="Y36" s="244"/>
      <c r="Z36" s="231" t="str">
        <f>IF(AND('Mapa final'!$H$52="Baja",'Mapa final'!$L$52="Moderado"),CONCATENATE("R",'Mapa final'!$A$52),"")</f>
        <v/>
      </c>
      <c r="AA36" s="232"/>
      <c r="AB36" s="246" t="e">
        <f>IF(AND('Mapa final'!#REF!="Baja",'Mapa final'!#REF!="Mayor"),CONCATENATE("R",'Mapa final'!#REF!),"")</f>
        <v>#REF!</v>
      </c>
      <c r="AC36" s="244"/>
      <c r="AD36" s="247" t="str">
        <f>IF(AND('Mapa final'!$H$46="Baja",'Mapa final'!$L$46="Mayor"),CONCATENATE("R",'Mapa final'!$A$46),"")</f>
        <v/>
      </c>
      <c r="AE36" s="244"/>
      <c r="AF36" s="247" t="str">
        <f>IF(AND('Mapa final'!$H$52="Baja",'Mapa final'!$L$52="Mayor"),CONCATENATE("R",'Mapa final'!$A$52),"")</f>
        <v/>
      </c>
      <c r="AG36" s="232"/>
      <c r="AH36" s="248" t="e">
        <f>IF(AND('Mapa final'!#REF!="Baja",'Mapa final'!#REF!="Catastrófico"),CONCATENATE("R",'Mapa final'!#REF!),"")</f>
        <v>#REF!</v>
      </c>
      <c r="AI36" s="244"/>
      <c r="AJ36" s="249" t="str">
        <f>IF(AND('Mapa final'!$H$46="Baja",'Mapa final'!$L$46="Catastrófico"),CONCATENATE("R",'Mapa final'!$A$46),"")</f>
        <v/>
      </c>
      <c r="AK36" s="244"/>
      <c r="AL36" s="249" t="str">
        <f>IF(AND('Mapa final'!$H$52="Baja",'Mapa final'!$L$52="Catastrófico"),CONCATENATE("R",'Mapa final'!$A$52),"")</f>
        <v/>
      </c>
      <c r="AM36" s="232"/>
      <c r="AN36" s="1"/>
      <c r="AO36" s="272"/>
      <c r="AP36" s="218"/>
      <c r="AQ36" s="218"/>
      <c r="AR36" s="218"/>
      <c r="AS36" s="218"/>
      <c r="AT36" s="273"/>
    </row>
    <row r="37" spans="2:46" ht="15.75" customHeight="1" x14ac:dyDescent="0.35">
      <c r="B37" s="263"/>
      <c r="C37" s="218"/>
      <c r="D37" s="219"/>
      <c r="E37" s="253"/>
      <c r="F37" s="254"/>
      <c r="G37" s="254"/>
      <c r="H37" s="254"/>
      <c r="I37" s="254"/>
      <c r="J37" s="253"/>
      <c r="K37" s="255"/>
      <c r="L37" s="256"/>
      <c r="M37" s="255"/>
      <c r="N37" s="256"/>
      <c r="O37" s="257"/>
      <c r="P37" s="256"/>
      <c r="Q37" s="255"/>
      <c r="R37" s="256"/>
      <c r="S37" s="255"/>
      <c r="T37" s="256"/>
      <c r="U37" s="257"/>
      <c r="V37" s="253"/>
      <c r="W37" s="255"/>
      <c r="X37" s="256"/>
      <c r="Y37" s="255"/>
      <c r="Z37" s="256"/>
      <c r="AA37" s="257"/>
      <c r="AB37" s="253"/>
      <c r="AC37" s="255"/>
      <c r="AD37" s="256"/>
      <c r="AE37" s="255"/>
      <c r="AF37" s="256"/>
      <c r="AG37" s="257"/>
      <c r="AH37" s="253"/>
      <c r="AI37" s="255"/>
      <c r="AJ37" s="256"/>
      <c r="AK37" s="255"/>
      <c r="AL37" s="256"/>
      <c r="AM37" s="257"/>
      <c r="AN37" s="1"/>
      <c r="AO37" s="274"/>
      <c r="AP37" s="275"/>
      <c r="AQ37" s="275"/>
      <c r="AR37" s="275"/>
      <c r="AS37" s="275"/>
      <c r="AT37" s="276"/>
    </row>
    <row r="38" spans="2:46" ht="15.75" customHeight="1" x14ac:dyDescent="0.35">
      <c r="B38" s="263"/>
      <c r="C38" s="218"/>
      <c r="D38" s="219"/>
      <c r="E38" s="251" t="s">
        <v>103</v>
      </c>
      <c r="F38" s="252"/>
      <c r="G38" s="252"/>
      <c r="H38" s="252"/>
      <c r="I38" s="238"/>
      <c r="J38" s="268" t="str">
        <f>IF(AND('Mapa final'!$H$16="Muy Baja",'Mapa final'!$L$16="Leve"),CONCATENATE("R",'Mapa final'!$A$16),"")</f>
        <v/>
      </c>
      <c r="K38" s="236"/>
      <c r="L38" s="267" t="str">
        <f>IF(AND('Mapa final'!$H$21="Muy Baja",'Mapa final'!$L$21="Leve"),CONCATENATE("R",'Mapa final'!$A$21),"")</f>
        <v/>
      </c>
      <c r="M38" s="236"/>
      <c r="N38" s="267" t="str">
        <f>IF(AND('Mapa final'!$H$26="Muy Baja",'Mapa final'!$L$26="Leve"),CONCATENATE("R",'Mapa final'!$A$26),"")</f>
        <v/>
      </c>
      <c r="O38" s="238"/>
      <c r="P38" s="268" t="str">
        <f>IF(AND('Mapa final'!$H$16="Muy Baja",'Mapa final'!$L$16="Menor"),CONCATENATE("R",'Mapa final'!$A$16),"")</f>
        <v/>
      </c>
      <c r="Q38" s="236"/>
      <c r="R38" s="267" t="str">
        <f>IF(AND('Mapa final'!$H$21="Muy Baja",'Mapa final'!$L$21="Menor"),CONCATENATE("R",'Mapa final'!$A$21),"")</f>
        <v/>
      </c>
      <c r="S38" s="236"/>
      <c r="T38" s="267" t="str">
        <f>IF(AND('Mapa final'!$H$26="Muy Baja",'Mapa final'!$L$26="Menor"),CONCATENATE("R",'Mapa final'!$A$26),"")</f>
        <v/>
      </c>
      <c r="U38" s="238"/>
      <c r="V38" s="250" t="str">
        <f>IF(AND('Mapa final'!$H$16="Muy Baja",'Mapa final'!$L$16="Moderado"),CONCATENATE("R",'Mapa final'!$A$16),"")</f>
        <v/>
      </c>
      <c r="W38" s="236"/>
      <c r="X38" s="235" t="str">
        <f>IF(AND('Mapa final'!$H$21="Muy Baja",'Mapa final'!$L$21="Moderado"),CONCATENATE("R",'Mapa final'!$A$21),"")</f>
        <v/>
      </c>
      <c r="Y38" s="236"/>
      <c r="Z38" s="235" t="str">
        <f>IF(AND('Mapa final'!$H$26="Muy Baja",'Mapa final'!$L$26="Moderado"),CONCATENATE("R",'Mapa final'!$A$26),"")</f>
        <v/>
      </c>
      <c r="AA38" s="238"/>
      <c r="AB38" s="239" t="str">
        <f>IF(AND('Mapa final'!$H$16="Muy Baja",'Mapa final'!$L$16="Mayor"),CONCATENATE("R",'Mapa final'!$A$16),"")</f>
        <v/>
      </c>
      <c r="AC38" s="236"/>
      <c r="AD38" s="241" t="str">
        <f>IF(AND('Mapa final'!$H$21="Muy Baja",'Mapa final'!$L$21="Mayor"),CONCATENATE("R",'Mapa final'!$A$21),"")</f>
        <v/>
      </c>
      <c r="AE38" s="236"/>
      <c r="AF38" s="241" t="str">
        <f>IF(AND('Mapa final'!$H$26="Muy Baja",'Mapa final'!$L$26="Mayor"),CONCATENATE("R",'Mapa final'!$A$26),"")</f>
        <v/>
      </c>
      <c r="AG38" s="238"/>
      <c r="AH38" s="258" t="str">
        <f>IF(AND('Mapa final'!$H$16="Muy Baja",'Mapa final'!$L$16="Catastrófico"),CONCATENATE("R",'Mapa final'!$A$16),"")</f>
        <v/>
      </c>
      <c r="AI38" s="236"/>
      <c r="AJ38" s="242" t="str">
        <f>IF(AND('Mapa final'!$H$21="Muy Baja",'Mapa final'!$L$21="Catastrófico"),CONCATENATE("R",'Mapa final'!$A$21),"")</f>
        <v/>
      </c>
      <c r="AK38" s="236"/>
      <c r="AL38" s="242" t="str">
        <f>IF(AND('Mapa final'!$H$26="Muy Baja",'Mapa final'!$L$26="Catastrófico"),CONCATENATE("R",'Mapa final'!$A$26),"")</f>
        <v/>
      </c>
      <c r="AM38" s="238"/>
      <c r="AN38" s="1"/>
      <c r="AO38" s="1"/>
      <c r="AP38" s="1"/>
      <c r="AQ38" s="1"/>
      <c r="AR38" s="1"/>
      <c r="AS38" s="1"/>
      <c r="AT38" s="1"/>
    </row>
    <row r="39" spans="2:46" ht="15.75" customHeight="1" x14ac:dyDescent="0.35">
      <c r="B39" s="263"/>
      <c r="C39" s="218"/>
      <c r="D39" s="219"/>
      <c r="E39" s="230"/>
      <c r="F39" s="218"/>
      <c r="G39" s="218"/>
      <c r="H39" s="218"/>
      <c r="I39" s="219"/>
      <c r="J39" s="240"/>
      <c r="K39" s="237"/>
      <c r="L39" s="233"/>
      <c r="M39" s="237"/>
      <c r="N39" s="233"/>
      <c r="O39" s="234"/>
      <c r="P39" s="240"/>
      <c r="Q39" s="237"/>
      <c r="R39" s="233"/>
      <c r="S39" s="237"/>
      <c r="T39" s="233"/>
      <c r="U39" s="234"/>
      <c r="V39" s="240"/>
      <c r="W39" s="237"/>
      <c r="X39" s="233"/>
      <c r="Y39" s="237"/>
      <c r="Z39" s="233"/>
      <c r="AA39" s="234"/>
      <c r="AB39" s="240"/>
      <c r="AC39" s="237"/>
      <c r="AD39" s="233"/>
      <c r="AE39" s="237"/>
      <c r="AF39" s="233"/>
      <c r="AG39" s="234"/>
      <c r="AH39" s="240"/>
      <c r="AI39" s="237"/>
      <c r="AJ39" s="233"/>
      <c r="AK39" s="237"/>
      <c r="AL39" s="233"/>
      <c r="AM39" s="234"/>
      <c r="AN39" s="1"/>
      <c r="AO39" s="1"/>
      <c r="AP39" s="1"/>
      <c r="AQ39" s="1"/>
      <c r="AR39" s="1"/>
      <c r="AS39" s="1"/>
      <c r="AT39" s="1"/>
    </row>
    <row r="40" spans="2:46" ht="15.75" customHeight="1" x14ac:dyDescent="0.35">
      <c r="B40" s="263"/>
      <c r="C40" s="218"/>
      <c r="D40" s="219"/>
      <c r="E40" s="230"/>
      <c r="F40" s="218"/>
      <c r="G40" s="218"/>
      <c r="H40" s="218"/>
      <c r="I40" s="219"/>
      <c r="J40" s="259" t="str">
        <f>IF(AND('Mapa final'!$H$31="Muy Baja",'Mapa final'!$L$31="Leve"),CONCATENATE("R",'Mapa final'!$A$31),"")</f>
        <v/>
      </c>
      <c r="K40" s="244"/>
      <c r="L40" s="243" t="str">
        <f>IF(AND('Mapa final'!$H$36="Muy Baja",'Mapa final'!$L$36="Leve"),CONCATENATE("R",'Mapa final'!$A$36),"")</f>
        <v/>
      </c>
      <c r="M40" s="244"/>
      <c r="N40" s="243" t="str">
        <f>IF(AND('Mapa final'!$H$41="Muy Baja",'Mapa final'!$L$41="Leve"),CONCATENATE("R",'Mapa final'!$A$41),"")</f>
        <v/>
      </c>
      <c r="O40" s="232"/>
      <c r="P40" s="259" t="str">
        <f>IF(AND('Mapa final'!$H$31="Muy Baja",'Mapa final'!$L$31="Menor"),CONCATENATE("R",'Mapa final'!$A$31),"")</f>
        <v/>
      </c>
      <c r="Q40" s="244"/>
      <c r="R40" s="243" t="str">
        <f>IF(AND('Mapa final'!$H$36="Muy Baja",'Mapa final'!$L$36="Menor"),CONCATENATE("R",'Mapa final'!$A$36),"")</f>
        <v/>
      </c>
      <c r="S40" s="244"/>
      <c r="T40" s="243" t="str">
        <f>IF(AND('Mapa final'!$H$41="Muy Baja",'Mapa final'!$L$41="Menor"),CONCATENATE("R",'Mapa final'!$A$41),"")</f>
        <v/>
      </c>
      <c r="U40" s="232"/>
      <c r="V40" s="245" t="str">
        <f>IF(AND('Mapa final'!$H$31="Muy Baja",'Mapa final'!$L$31="Moderado"),CONCATENATE("R",'Mapa final'!$A$31),"")</f>
        <v/>
      </c>
      <c r="W40" s="244"/>
      <c r="X40" s="231" t="str">
        <f>IF(AND('Mapa final'!$H$36="Muy Baja",'Mapa final'!$L$36="Moderado"),CONCATENATE("R",'Mapa final'!$A$36),"")</f>
        <v/>
      </c>
      <c r="Y40" s="244"/>
      <c r="Z40" s="231" t="str">
        <f>IF(AND('Mapa final'!$H$41="Muy Baja",'Mapa final'!$L$41="Moderado"),CONCATENATE("R",'Mapa final'!$A$41),"")</f>
        <v/>
      </c>
      <c r="AA40" s="232"/>
      <c r="AB40" s="246" t="str">
        <f>IF(AND('Mapa final'!$H$31="Muy Baja",'Mapa final'!$L$31="Mayor"),CONCATENATE("R",'Mapa final'!$A$31),"")</f>
        <v/>
      </c>
      <c r="AC40" s="244"/>
      <c r="AD40" s="247" t="str">
        <f>IF(AND('Mapa final'!$H$36="Muy Baja",'Mapa final'!$L$36="Mayor"),CONCATENATE("R",'Mapa final'!$A$36),"")</f>
        <v/>
      </c>
      <c r="AE40" s="244"/>
      <c r="AF40" s="247" t="str">
        <f>IF(AND('Mapa final'!$H$41="Muy Baja",'Mapa final'!$L$41="Mayor"),CONCATENATE("R",'Mapa final'!$A$41),"")</f>
        <v/>
      </c>
      <c r="AG40" s="232"/>
      <c r="AH40" s="248" t="str">
        <f>IF(AND('Mapa final'!$H$31="Muy Baja",'Mapa final'!$L$31="Catastrófico"),CONCATENATE("R",'Mapa final'!$A$31),"")</f>
        <v/>
      </c>
      <c r="AI40" s="244"/>
      <c r="AJ40" s="249" t="str">
        <f>IF(AND('Mapa final'!$H$36="Muy Baja",'Mapa final'!$L$36="Catastrófico"),CONCATENATE("R",'Mapa final'!$A$36),"")</f>
        <v/>
      </c>
      <c r="AK40" s="244"/>
      <c r="AL40" s="249" t="str">
        <f>IF(AND('Mapa final'!$H$41="Muy Baja",'Mapa final'!$L$41="Catastrófico"),CONCATENATE("R",'Mapa final'!$A$41),"")</f>
        <v/>
      </c>
      <c r="AM40" s="232"/>
      <c r="AN40" s="1"/>
      <c r="AO40" s="1"/>
      <c r="AP40" s="1"/>
      <c r="AQ40" s="1"/>
      <c r="AR40" s="1"/>
      <c r="AS40" s="1"/>
      <c r="AT40" s="1"/>
    </row>
    <row r="41" spans="2:46" ht="15.75" customHeight="1" x14ac:dyDescent="0.35">
      <c r="B41" s="263"/>
      <c r="C41" s="218"/>
      <c r="D41" s="219"/>
      <c r="E41" s="230"/>
      <c r="F41" s="218"/>
      <c r="G41" s="218"/>
      <c r="H41" s="218"/>
      <c r="I41" s="219"/>
      <c r="J41" s="240"/>
      <c r="K41" s="237"/>
      <c r="L41" s="233"/>
      <c r="M41" s="237"/>
      <c r="N41" s="233"/>
      <c r="O41" s="234"/>
      <c r="P41" s="240"/>
      <c r="Q41" s="237"/>
      <c r="R41" s="233"/>
      <c r="S41" s="237"/>
      <c r="T41" s="233"/>
      <c r="U41" s="234"/>
      <c r="V41" s="240"/>
      <c r="W41" s="237"/>
      <c r="X41" s="233"/>
      <c r="Y41" s="237"/>
      <c r="Z41" s="233"/>
      <c r="AA41" s="234"/>
      <c r="AB41" s="240"/>
      <c r="AC41" s="237"/>
      <c r="AD41" s="233"/>
      <c r="AE41" s="237"/>
      <c r="AF41" s="233"/>
      <c r="AG41" s="234"/>
      <c r="AH41" s="240"/>
      <c r="AI41" s="237"/>
      <c r="AJ41" s="233"/>
      <c r="AK41" s="237"/>
      <c r="AL41" s="233"/>
      <c r="AM41" s="234"/>
      <c r="AN41" s="1"/>
      <c r="AO41" s="1"/>
      <c r="AP41" s="1"/>
      <c r="AQ41" s="1"/>
      <c r="AR41" s="1"/>
      <c r="AS41" s="1"/>
      <c r="AT41" s="1"/>
    </row>
    <row r="42" spans="2:46" ht="15.75" customHeight="1" x14ac:dyDescent="0.35">
      <c r="B42" s="263"/>
      <c r="C42" s="218"/>
      <c r="D42" s="219"/>
      <c r="E42" s="230"/>
      <c r="F42" s="218"/>
      <c r="G42" s="218"/>
      <c r="H42" s="218"/>
      <c r="I42" s="219"/>
      <c r="J42" s="259" t="e">
        <f>IF(AND('Mapa final'!#REF!="Muy Baja",'Mapa final'!#REF!="Leve"),CONCATENATE("R",'Mapa final'!#REF!),"")</f>
        <v>#REF!</v>
      </c>
      <c r="K42" s="244"/>
      <c r="L42" s="243" t="e">
        <f>IF(AND('Mapa final'!#REF!="Muy Baja",'Mapa final'!#REF!="Leve"),CONCATENATE("R",'Mapa final'!#REF!),"")</f>
        <v>#REF!</v>
      </c>
      <c r="M42" s="244"/>
      <c r="N42" s="243" t="e">
        <f>IF(AND('Mapa final'!#REF!="Muy Baja",'Mapa final'!#REF!="Leve"),CONCATENATE("R",'Mapa final'!#REF!),"")</f>
        <v>#REF!</v>
      </c>
      <c r="O42" s="232"/>
      <c r="P42" s="259" t="e">
        <f>IF(AND('Mapa final'!#REF!="Muy Baja",'Mapa final'!#REF!="Menor"),CONCATENATE("R",'Mapa final'!#REF!),"")</f>
        <v>#REF!</v>
      </c>
      <c r="Q42" s="244"/>
      <c r="R42" s="243" t="e">
        <f>IF(AND('Mapa final'!#REF!="Muy Baja",'Mapa final'!#REF!="Menor"),CONCATENATE("R",'Mapa final'!#REF!),"")</f>
        <v>#REF!</v>
      </c>
      <c r="S42" s="244"/>
      <c r="T42" s="243" t="e">
        <f>IF(AND('Mapa final'!#REF!="Muy Baja",'Mapa final'!#REF!="Menor"),CONCATENATE("R",'Mapa final'!#REF!),"")</f>
        <v>#REF!</v>
      </c>
      <c r="U42" s="232"/>
      <c r="V42" s="245" t="e">
        <f>IF(AND('Mapa final'!#REF!="Muy Baja",'Mapa final'!#REF!="Moderado"),CONCATENATE("R",'Mapa final'!#REF!),"")</f>
        <v>#REF!</v>
      </c>
      <c r="W42" s="244"/>
      <c r="X42" s="231" t="e">
        <f>IF(AND('Mapa final'!#REF!="Muy Baja",'Mapa final'!#REF!="Moderado"),CONCATENATE("R",'Mapa final'!#REF!),"")</f>
        <v>#REF!</v>
      </c>
      <c r="Y42" s="244"/>
      <c r="Z42" s="231" t="e">
        <f>IF(AND('Mapa final'!#REF!="Muy Baja",'Mapa final'!#REF!="Moderado"),CONCATENATE("R",'Mapa final'!#REF!),"")</f>
        <v>#REF!</v>
      </c>
      <c r="AA42" s="232"/>
      <c r="AB42" s="246" t="e">
        <f>IF(AND('Mapa final'!#REF!="Muy Baja",'Mapa final'!#REF!="Mayor"),CONCATENATE("R",'Mapa final'!#REF!),"")</f>
        <v>#REF!</v>
      </c>
      <c r="AC42" s="244"/>
      <c r="AD42" s="247" t="e">
        <f>IF(AND('Mapa final'!#REF!="Muy Baja",'Mapa final'!#REF!="Mayor"),CONCATENATE("R",'Mapa final'!#REF!),"")</f>
        <v>#REF!</v>
      </c>
      <c r="AE42" s="244"/>
      <c r="AF42" s="247" t="e">
        <f>IF(AND('Mapa final'!#REF!="Muy Baja",'Mapa final'!#REF!="Mayor"),CONCATENATE("R",'Mapa final'!#REF!),"")</f>
        <v>#REF!</v>
      </c>
      <c r="AG42" s="232"/>
      <c r="AH42" s="248" t="e">
        <f>IF(AND('Mapa final'!#REF!="Muy Baja",'Mapa final'!#REF!="Catastrófico"),CONCATENATE("R",'Mapa final'!#REF!),"")</f>
        <v>#REF!</v>
      </c>
      <c r="AI42" s="244"/>
      <c r="AJ42" s="249" t="e">
        <f>IF(AND('Mapa final'!#REF!="Muy Baja",'Mapa final'!#REF!="Catastrófico"),CONCATENATE("R",'Mapa final'!#REF!),"")</f>
        <v>#REF!</v>
      </c>
      <c r="AK42" s="244"/>
      <c r="AL42" s="249" t="e">
        <f>IF(AND('Mapa final'!#REF!="Muy Baja",'Mapa final'!#REF!="Catastrófico"),CONCATENATE("R",'Mapa final'!#REF!),"")</f>
        <v>#REF!</v>
      </c>
      <c r="AM42" s="232"/>
      <c r="AN42" s="1"/>
      <c r="AO42" s="1"/>
      <c r="AP42" s="1"/>
      <c r="AQ42" s="1"/>
      <c r="AR42" s="1"/>
      <c r="AS42" s="1"/>
      <c r="AT42" s="1"/>
    </row>
    <row r="43" spans="2:46" ht="15.75" customHeight="1" x14ac:dyDescent="0.35">
      <c r="B43" s="263"/>
      <c r="C43" s="218"/>
      <c r="D43" s="219"/>
      <c r="E43" s="230"/>
      <c r="F43" s="218"/>
      <c r="G43" s="218"/>
      <c r="H43" s="218"/>
      <c r="I43" s="219"/>
      <c r="J43" s="240"/>
      <c r="K43" s="237"/>
      <c r="L43" s="233"/>
      <c r="M43" s="237"/>
      <c r="N43" s="233"/>
      <c r="O43" s="234"/>
      <c r="P43" s="240"/>
      <c r="Q43" s="237"/>
      <c r="R43" s="233"/>
      <c r="S43" s="237"/>
      <c r="T43" s="233"/>
      <c r="U43" s="234"/>
      <c r="V43" s="240"/>
      <c r="W43" s="237"/>
      <c r="X43" s="233"/>
      <c r="Y43" s="237"/>
      <c r="Z43" s="233"/>
      <c r="AA43" s="234"/>
      <c r="AB43" s="240"/>
      <c r="AC43" s="237"/>
      <c r="AD43" s="233"/>
      <c r="AE43" s="237"/>
      <c r="AF43" s="233"/>
      <c r="AG43" s="234"/>
      <c r="AH43" s="240"/>
      <c r="AI43" s="237"/>
      <c r="AJ43" s="233"/>
      <c r="AK43" s="237"/>
      <c r="AL43" s="233"/>
      <c r="AM43" s="234"/>
      <c r="AN43" s="1"/>
      <c r="AO43" s="1"/>
      <c r="AP43" s="1"/>
      <c r="AQ43" s="1"/>
      <c r="AR43" s="1"/>
      <c r="AS43" s="1"/>
      <c r="AT43" s="1"/>
    </row>
    <row r="44" spans="2:46" ht="15.75" customHeight="1" x14ac:dyDescent="0.35">
      <c r="B44" s="263"/>
      <c r="C44" s="218"/>
      <c r="D44" s="219"/>
      <c r="E44" s="230"/>
      <c r="F44" s="218"/>
      <c r="G44" s="218"/>
      <c r="H44" s="218"/>
      <c r="I44" s="219"/>
      <c r="J44" s="259" t="e">
        <f>IF(AND('Mapa final'!#REF!="Muy Baja",'Mapa final'!#REF!="Leve"),CONCATENATE("R",'Mapa final'!#REF!),"")</f>
        <v>#REF!</v>
      </c>
      <c r="K44" s="244"/>
      <c r="L44" s="243" t="str">
        <f>IF(AND('Mapa final'!$H$46="Muy Baja",'Mapa final'!$L$46="Leve"),CONCATENATE("R",'Mapa final'!$A$46),"")</f>
        <v/>
      </c>
      <c r="M44" s="244"/>
      <c r="N44" s="243" t="str">
        <f>IF(AND('Mapa final'!$H$52="Muy Baja",'Mapa final'!$L$52="Leve"),CONCATENATE("R",'Mapa final'!$A$52),"")</f>
        <v/>
      </c>
      <c r="O44" s="232"/>
      <c r="P44" s="259" t="e">
        <f>IF(AND('Mapa final'!#REF!="Muy Baja",'Mapa final'!#REF!="Menor"),CONCATENATE("R",'Mapa final'!#REF!),"")</f>
        <v>#REF!</v>
      </c>
      <c r="Q44" s="244"/>
      <c r="R44" s="243" t="str">
        <f>IF(AND('Mapa final'!$H$46="Muy Baja",'Mapa final'!$L$46="Menor"),CONCATENATE("R",'Mapa final'!$A$46),"")</f>
        <v/>
      </c>
      <c r="S44" s="244"/>
      <c r="T44" s="243" t="str">
        <f>IF(AND('Mapa final'!$H$52="Muy Baja",'Mapa final'!$L$52="Menor"),CONCATENATE("R",'Mapa final'!$A$52),"")</f>
        <v/>
      </c>
      <c r="U44" s="232"/>
      <c r="V44" s="245" t="e">
        <f>IF(AND('Mapa final'!#REF!="Muy Baja",'Mapa final'!#REF!="Moderado"),CONCATENATE("R",'Mapa final'!#REF!),"")</f>
        <v>#REF!</v>
      </c>
      <c r="W44" s="244"/>
      <c r="X44" s="231" t="str">
        <f>IF(AND('Mapa final'!$H$46="Muy Baja",'Mapa final'!$L$46="Moderado"),CONCATENATE("R",'Mapa final'!$A$46),"")</f>
        <v/>
      </c>
      <c r="Y44" s="244"/>
      <c r="Z44" s="231" t="str">
        <f>IF(AND('Mapa final'!$H$52="Muy Baja",'Mapa final'!$L$52="Moderado"),CONCATENATE("R",'Mapa final'!$A$52),"")</f>
        <v/>
      </c>
      <c r="AA44" s="232"/>
      <c r="AB44" s="246" t="e">
        <f>IF(AND('Mapa final'!#REF!="Muy Baja",'Mapa final'!#REF!="Mayor"),CONCATENATE("R",'Mapa final'!#REF!),"")</f>
        <v>#REF!</v>
      </c>
      <c r="AC44" s="244"/>
      <c r="AD44" s="247" t="str">
        <f>IF(AND('Mapa final'!$H$46="Muy Baja",'Mapa final'!$L$46="Mayor"),CONCATENATE("R",'Mapa final'!$A$46),"")</f>
        <v/>
      </c>
      <c r="AE44" s="244"/>
      <c r="AF44" s="247" t="str">
        <f>IF(AND('Mapa final'!$H$52="Muy Baja",'Mapa final'!$L$52="Mayor"),CONCATENATE("R",'Mapa final'!$A$52),"")</f>
        <v/>
      </c>
      <c r="AG44" s="232"/>
      <c r="AH44" s="248" t="e">
        <f>IF(AND('Mapa final'!#REF!="Muy Baja",'Mapa final'!#REF!="Catastrófico"),CONCATENATE("R",'Mapa final'!#REF!),"")</f>
        <v>#REF!</v>
      </c>
      <c r="AI44" s="244"/>
      <c r="AJ44" s="249" t="str">
        <f>IF(AND('Mapa final'!$H$46="Muy Baja",'Mapa final'!$L$46="Catastrófico"),CONCATENATE("R",'Mapa final'!$A$46),"")</f>
        <v/>
      </c>
      <c r="AK44" s="244"/>
      <c r="AL44" s="249" t="str">
        <f>IF(AND('Mapa final'!$H$52="Muy Baja",'Mapa final'!$L$52="Catastrófico"),CONCATENATE("R",'Mapa final'!$A$52),"")</f>
        <v/>
      </c>
      <c r="AM44" s="232"/>
      <c r="AN44" s="1"/>
      <c r="AO44" s="1"/>
      <c r="AP44" s="1"/>
      <c r="AQ44" s="1"/>
      <c r="AR44" s="1"/>
      <c r="AS44" s="1"/>
      <c r="AT44" s="1"/>
    </row>
    <row r="45" spans="2:46" ht="15.75" customHeight="1" x14ac:dyDescent="0.35">
      <c r="B45" s="233"/>
      <c r="C45" s="265"/>
      <c r="D45" s="234"/>
      <c r="E45" s="253"/>
      <c r="F45" s="254"/>
      <c r="G45" s="254"/>
      <c r="H45" s="254"/>
      <c r="I45" s="257"/>
      <c r="J45" s="253"/>
      <c r="K45" s="255"/>
      <c r="L45" s="256"/>
      <c r="M45" s="255"/>
      <c r="N45" s="256"/>
      <c r="O45" s="257"/>
      <c r="P45" s="253"/>
      <c r="Q45" s="255"/>
      <c r="R45" s="256"/>
      <c r="S45" s="255"/>
      <c r="T45" s="256"/>
      <c r="U45" s="257"/>
      <c r="V45" s="253"/>
      <c r="W45" s="255"/>
      <c r="X45" s="256"/>
      <c r="Y45" s="255"/>
      <c r="Z45" s="256"/>
      <c r="AA45" s="257"/>
      <c r="AB45" s="253"/>
      <c r="AC45" s="255"/>
      <c r="AD45" s="256"/>
      <c r="AE45" s="255"/>
      <c r="AF45" s="256"/>
      <c r="AG45" s="257"/>
      <c r="AH45" s="253"/>
      <c r="AI45" s="255"/>
      <c r="AJ45" s="256"/>
      <c r="AK45" s="255"/>
      <c r="AL45" s="256"/>
      <c r="AM45" s="257"/>
      <c r="AN45" s="1"/>
      <c r="AO45" s="1"/>
      <c r="AP45" s="1"/>
      <c r="AQ45" s="1"/>
      <c r="AR45" s="1"/>
      <c r="AS45" s="1"/>
      <c r="AT45" s="1"/>
    </row>
    <row r="46" spans="2:46" ht="15.75" customHeight="1" x14ac:dyDescent="0.35">
      <c r="B46" s="1"/>
      <c r="C46" s="1"/>
      <c r="D46" s="1"/>
      <c r="E46" s="1"/>
      <c r="F46" s="1"/>
      <c r="G46" s="1"/>
      <c r="H46" s="1"/>
      <c r="I46" s="1"/>
      <c r="J46" s="251" t="s">
        <v>104</v>
      </c>
      <c r="K46" s="252"/>
      <c r="L46" s="252"/>
      <c r="M46" s="252"/>
      <c r="N46" s="252"/>
      <c r="O46" s="238"/>
      <c r="P46" s="251" t="s">
        <v>105</v>
      </c>
      <c r="Q46" s="252"/>
      <c r="R46" s="252"/>
      <c r="S46" s="252"/>
      <c r="T46" s="252"/>
      <c r="U46" s="238"/>
      <c r="V46" s="251" t="s">
        <v>106</v>
      </c>
      <c r="W46" s="252"/>
      <c r="X46" s="252"/>
      <c r="Y46" s="252"/>
      <c r="Z46" s="252"/>
      <c r="AA46" s="238"/>
      <c r="AB46" s="251" t="s">
        <v>107</v>
      </c>
      <c r="AC46" s="252"/>
      <c r="AD46" s="252"/>
      <c r="AE46" s="252"/>
      <c r="AF46" s="252"/>
      <c r="AG46" s="238"/>
      <c r="AH46" s="251" t="s">
        <v>108</v>
      </c>
      <c r="AI46" s="252"/>
      <c r="AJ46" s="252"/>
      <c r="AK46" s="252"/>
      <c r="AL46" s="252"/>
      <c r="AM46" s="238"/>
      <c r="AN46" s="1"/>
      <c r="AO46" s="1"/>
      <c r="AP46" s="1"/>
      <c r="AQ46" s="1"/>
      <c r="AR46" s="1"/>
      <c r="AS46" s="1"/>
      <c r="AT46" s="1"/>
    </row>
    <row r="47" spans="2:46" ht="15.75" customHeight="1" x14ac:dyDescent="0.35">
      <c r="B47" s="1"/>
      <c r="C47" s="1"/>
      <c r="D47" s="1"/>
      <c r="E47" s="1"/>
      <c r="F47" s="1"/>
      <c r="G47" s="1"/>
      <c r="H47" s="1"/>
      <c r="I47" s="1"/>
      <c r="J47" s="230"/>
      <c r="K47" s="218"/>
      <c r="L47" s="218"/>
      <c r="M47" s="218"/>
      <c r="N47" s="218"/>
      <c r="O47" s="219"/>
      <c r="P47" s="230"/>
      <c r="Q47" s="218"/>
      <c r="R47" s="218"/>
      <c r="S47" s="218"/>
      <c r="T47" s="218"/>
      <c r="U47" s="219"/>
      <c r="V47" s="230"/>
      <c r="W47" s="218"/>
      <c r="X47" s="218"/>
      <c r="Y47" s="218"/>
      <c r="Z47" s="218"/>
      <c r="AA47" s="219"/>
      <c r="AB47" s="230"/>
      <c r="AC47" s="218"/>
      <c r="AD47" s="218"/>
      <c r="AE47" s="218"/>
      <c r="AF47" s="218"/>
      <c r="AG47" s="219"/>
      <c r="AH47" s="230"/>
      <c r="AI47" s="218"/>
      <c r="AJ47" s="218"/>
      <c r="AK47" s="218"/>
      <c r="AL47" s="218"/>
      <c r="AM47" s="219"/>
      <c r="AN47" s="1"/>
      <c r="AO47" s="1"/>
      <c r="AP47" s="1"/>
      <c r="AQ47" s="1"/>
      <c r="AR47" s="1"/>
      <c r="AS47" s="1"/>
      <c r="AT47" s="1"/>
    </row>
    <row r="48" spans="2:46" ht="15.75" customHeight="1" x14ac:dyDescent="0.35">
      <c r="B48" s="1"/>
      <c r="C48" s="1"/>
      <c r="D48" s="1"/>
      <c r="E48" s="1"/>
      <c r="F48" s="1"/>
      <c r="G48" s="1"/>
      <c r="H48" s="1"/>
      <c r="I48" s="1"/>
      <c r="J48" s="230"/>
      <c r="K48" s="218"/>
      <c r="L48" s="218"/>
      <c r="M48" s="218"/>
      <c r="N48" s="218"/>
      <c r="O48" s="219"/>
      <c r="P48" s="230"/>
      <c r="Q48" s="218"/>
      <c r="R48" s="218"/>
      <c r="S48" s="218"/>
      <c r="T48" s="218"/>
      <c r="U48" s="219"/>
      <c r="V48" s="230"/>
      <c r="W48" s="218"/>
      <c r="X48" s="218"/>
      <c r="Y48" s="218"/>
      <c r="Z48" s="218"/>
      <c r="AA48" s="219"/>
      <c r="AB48" s="230"/>
      <c r="AC48" s="218"/>
      <c r="AD48" s="218"/>
      <c r="AE48" s="218"/>
      <c r="AF48" s="218"/>
      <c r="AG48" s="219"/>
      <c r="AH48" s="230"/>
      <c r="AI48" s="218"/>
      <c r="AJ48" s="218"/>
      <c r="AK48" s="218"/>
      <c r="AL48" s="218"/>
      <c r="AM48" s="219"/>
      <c r="AN48" s="1"/>
      <c r="AO48" s="1"/>
      <c r="AP48" s="1"/>
      <c r="AQ48" s="1"/>
      <c r="AR48" s="1"/>
      <c r="AS48" s="1"/>
      <c r="AT48" s="1"/>
    </row>
    <row r="49" spans="2:39" ht="15.75" customHeight="1" x14ac:dyDescent="0.35">
      <c r="B49" s="1"/>
      <c r="C49" s="1"/>
      <c r="D49" s="1"/>
      <c r="E49" s="1"/>
      <c r="F49" s="1"/>
      <c r="G49" s="1"/>
      <c r="H49" s="1"/>
      <c r="I49" s="1"/>
      <c r="J49" s="230"/>
      <c r="K49" s="218"/>
      <c r="L49" s="218"/>
      <c r="M49" s="218"/>
      <c r="N49" s="218"/>
      <c r="O49" s="219"/>
      <c r="P49" s="230"/>
      <c r="Q49" s="218"/>
      <c r="R49" s="218"/>
      <c r="S49" s="218"/>
      <c r="T49" s="218"/>
      <c r="U49" s="219"/>
      <c r="V49" s="230"/>
      <c r="W49" s="218"/>
      <c r="X49" s="218"/>
      <c r="Y49" s="218"/>
      <c r="Z49" s="218"/>
      <c r="AA49" s="219"/>
      <c r="AB49" s="230"/>
      <c r="AC49" s="218"/>
      <c r="AD49" s="218"/>
      <c r="AE49" s="218"/>
      <c r="AF49" s="218"/>
      <c r="AG49" s="219"/>
      <c r="AH49" s="230"/>
      <c r="AI49" s="218"/>
      <c r="AJ49" s="218"/>
      <c r="AK49" s="218"/>
      <c r="AL49" s="218"/>
      <c r="AM49" s="219"/>
    </row>
    <row r="50" spans="2:39" ht="15.75" customHeight="1" x14ac:dyDescent="0.35">
      <c r="B50" s="1"/>
      <c r="C50" s="1"/>
      <c r="D50" s="1"/>
      <c r="E50" s="1"/>
      <c r="F50" s="1"/>
      <c r="G50" s="1"/>
      <c r="H50" s="1"/>
      <c r="I50" s="1"/>
      <c r="J50" s="230"/>
      <c r="K50" s="218"/>
      <c r="L50" s="218"/>
      <c r="M50" s="218"/>
      <c r="N50" s="218"/>
      <c r="O50" s="219"/>
      <c r="P50" s="230"/>
      <c r="Q50" s="218"/>
      <c r="R50" s="218"/>
      <c r="S50" s="218"/>
      <c r="T50" s="218"/>
      <c r="U50" s="219"/>
      <c r="V50" s="230"/>
      <c r="W50" s="218"/>
      <c r="X50" s="218"/>
      <c r="Y50" s="218"/>
      <c r="Z50" s="218"/>
      <c r="AA50" s="219"/>
      <c r="AB50" s="230"/>
      <c r="AC50" s="218"/>
      <c r="AD50" s="218"/>
      <c r="AE50" s="218"/>
      <c r="AF50" s="218"/>
      <c r="AG50" s="219"/>
      <c r="AH50" s="230"/>
      <c r="AI50" s="218"/>
      <c r="AJ50" s="218"/>
      <c r="AK50" s="218"/>
      <c r="AL50" s="218"/>
      <c r="AM50" s="219"/>
    </row>
    <row r="51" spans="2:39" ht="15.75" customHeight="1" x14ac:dyDescent="0.35">
      <c r="B51" s="1"/>
      <c r="C51" s="1"/>
      <c r="D51" s="1"/>
      <c r="E51" s="1"/>
      <c r="F51" s="1"/>
      <c r="G51" s="1"/>
      <c r="H51" s="1"/>
      <c r="I51" s="1"/>
      <c r="J51" s="253"/>
      <c r="K51" s="254"/>
      <c r="L51" s="254"/>
      <c r="M51" s="254"/>
      <c r="N51" s="254"/>
      <c r="O51" s="257"/>
      <c r="P51" s="253"/>
      <c r="Q51" s="254"/>
      <c r="R51" s="254"/>
      <c r="S51" s="254"/>
      <c r="T51" s="254"/>
      <c r="U51" s="257"/>
      <c r="V51" s="253"/>
      <c r="W51" s="254"/>
      <c r="X51" s="254"/>
      <c r="Y51" s="254"/>
      <c r="Z51" s="254"/>
      <c r="AA51" s="257"/>
      <c r="AB51" s="253"/>
      <c r="AC51" s="254"/>
      <c r="AD51" s="254"/>
      <c r="AE51" s="254"/>
      <c r="AF51" s="254"/>
      <c r="AG51" s="257"/>
      <c r="AH51" s="253"/>
      <c r="AI51" s="254"/>
      <c r="AJ51" s="254"/>
      <c r="AK51" s="254"/>
      <c r="AL51" s="254"/>
      <c r="AM51" s="257"/>
    </row>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T61"/>
  <sheetViews>
    <sheetView topLeftCell="A21" zoomScale="50" zoomScaleNormal="50" workbookViewId="0">
      <selection activeCell="T46" sqref="T46"/>
    </sheetView>
  </sheetViews>
  <sheetFormatPr baseColWidth="10" defaultColWidth="12.58203125" defaultRowHeight="15" customHeight="1" x14ac:dyDescent="0.3"/>
  <cols>
    <col min="1" max="1" width="9.33203125" customWidth="1"/>
    <col min="2" max="18" width="5" customWidth="1"/>
    <col min="19" max="19" width="7.33203125" customWidth="1"/>
    <col min="20" max="23" width="5" customWidth="1"/>
    <col min="24" max="24" width="7.5" customWidth="1"/>
    <col min="25" max="26" width="5" customWidth="1"/>
    <col min="27" max="27" width="9.33203125" customWidth="1"/>
    <col min="28" max="28" width="5" customWidth="1"/>
    <col min="29" max="29" width="6.5" customWidth="1"/>
    <col min="30" max="33" width="5" customWidth="1"/>
    <col min="34" max="34" width="7.5" customWidth="1"/>
    <col min="35" max="39" width="5" customWidth="1"/>
    <col min="40" max="40" width="9.33203125" customWidth="1"/>
    <col min="41" max="46" width="5" customWidth="1"/>
    <col min="47" max="61" width="9.33203125" customWidth="1"/>
  </cols>
  <sheetData>
    <row r="2" spans="2:46" ht="18" customHeight="1" x14ac:dyDescent="0.35">
      <c r="B2" s="280" t="s">
        <v>109</v>
      </c>
      <c r="C2" s="218"/>
      <c r="D2" s="218"/>
      <c r="E2" s="218"/>
      <c r="F2" s="218"/>
      <c r="G2" s="218"/>
      <c r="H2" s="218"/>
      <c r="I2" s="218"/>
      <c r="J2" s="261" t="s">
        <v>15</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44"/>
      <c r="AN2" s="1"/>
      <c r="AO2" s="1"/>
      <c r="AP2" s="1"/>
      <c r="AQ2" s="1"/>
      <c r="AR2" s="1"/>
      <c r="AS2" s="1"/>
      <c r="AT2" s="1"/>
    </row>
    <row r="3" spans="2:46" ht="18.75" customHeight="1" x14ac:dyDescent="0.35">
      <c r="B3" s="218"/>
      <c r="C3" s="218"/>
      <c r="D3" s="218"/>
      <c r="E3" s="218"/>
      <c r="F3" s="218"/>
      <c r="G3" s="218"/>
      <c r="H3" s="218"/>
      <c r="I3" s="218"/>
      <c r="J3" s="263"/>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64"/>
      <c r="AN3" s="1"/>
      <c r="AO3" s="1"/>
      <c r="AP3" s="1"/>
      <c r="AQ3" s="1"/>
      <c r="AR3" s="1"/>
      <c r="AS3" s="1"/>
      <c r="AT3" s="1"/>
    </row>
    <row r="4" spans="2:46" ht="15" customHeight="1" x14ac:dyDescent="0.35">
      <c r="B4" s="218"/>
      <c r="C4" s="218"/>
      <c r="D4" s="218"/>
      <c r="E4" s="218"/>
      <c r="F4" s="218"/>
      <c r="G4" s="218"/>
      <c r="H4" s="218"/>
      <c r="I4" s="218"/>
      <c r="J4" s="233"/>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37"/>
      <c r="AN4" s="1"/>
      <c r="AO4" s="1"/>
      <c r="AP4" s="1"/>
      <c r="AQ4" s="1"/>
      <c r="AR4" s="1"/>
      <c r="AS4" s="1"/>
      <c r="AT4" s="1"/>
    </row>
    <row r="5" spans="2:46" ht="14.5"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ht="15" customHeight="1" x14ac:dyDescent="0.35">
      <c r="B6" s="266" t="s">
        <v>94</v>
      </c>
      <c r="C6" s="262"/>
      <c r="D6" s="232"/>
      <c r="E6" s="281" t="s">
        <v>95</v>
      </c>
      <c r="F6" s="252"/>
      <c r="G6" s="252"/>
      <c r="H6" s="252"/>
      <c r="I6" s="238"/>
      <c r="J6" s="15" t="str">
        <f>IF(AND('Mapa final'!$Y$16="Muy Alta",'Mapa final'!$AA$16="Leve"),CONCATENATE("R1C",'Mapa final'!$O$16),"")</f>
        <v/>
      </c>
      <c r="K6" s="16" t="str">
        <f>IF(AND('Mapa final'!$Y$17="Muy Alta",'Mapa final'!$AA$17="Leve"),CONCATENATE("R1C",'Mapa final'!$O$17),"")</f>
        <v/>
      </c>
      <c r="L6" s="16" t="str">
        <f>IF(AND('Mapa final'!$Y$18="Muy Alta",'Mapa final'!$AA$18="Leve"),CONCATENATE("R1C",'Mapa final'!$O$18),"")</f>
        <v/>
      </c>
      <c r="M6" s="16" t="e">
        <f>IF(AND('Mapa final'!#REF!="Muy Alta",'Mapa final'!#REF!="Leve"),CONCATENATE("R1C",'Mapa final'!#REF!),"")</f>
        <v>#REF!</v>
      </c>
      <c r="N6" s="16" t="e">
        <f>IF(AND('Mapa final'!#REF!="Muy Alta",'Mapa final'!#REF!="Leve"),CONCATENATE("R1C",'Mapa final'!#REF!),"")</f>
        <v>#REF!</v>
      </c>
      <c r="O6" s="17" t="e">
        <f>IF(AND('Mapa final'!#REF!="Muy Alta",'Mapa final'!#REF!="Leve"),CONCATENATE("R1C",'Mapa final'!#REF!),"")</f>
        <v>#REF!</v>
      </c>
      <c r="P6" s="15" t="str">
        <f>IF(AND('Mapa final'!$Y$16="Muy Alta",'Mapa final'!$AA$16="Menor"),CONCATENATE("R1C",'Mapa final'!$O$16),"")</f>
        <v/>
      </c>
      <c r="Q6" s="16" t="str">
        <f>IF(AND('Mapa final'!$Y$17="Muy Alta",'Mapa final'!$AA$17="Menor"),CONCATENATE("R1C",'Mapa final'!$O$17),"")</f>
        <v/>
      </c>
      <c r="R6" s="16" t="str">
        <f>IF(AND('Mapa final'!$Y$18="Muy Alta",'Mapa final'!$AA$18="Menor"),CONCATENATE("R1C",'Mapa final'!$O$18),"")</f>
        <v/>
      </c>
      <c r="S6" s="16" t="e">
        <f>IF(AND('Mapa final'!#REF!="Muy Alta",'Mapa final'!#REF!="Menor"),CONCATENATE("R1C",'Mapa final'!#REF!),"")</f>
        <v>#REF!</v>
      </c>
      <c r="T6" s="16" t="e">
        <f>IF(AND('Mapa final'!#REF!="Muy Alta",'Mapa final'!#REF!="Menor"),CONCATENATE("R1C",'Mapa final'!#REF!),"")</f>
        <v>#REF!</v>
      </c>
      <c r="U6" s="17" t="e">
        <f>IF(AND('Mapa final'!#REF!="Muy Alta",'Mapa final'!#REF!="Menor"),CONCATENATE("R1C",'Mapa final'!#REF!),"")</f>
        <v>#REF!</v>
      </c>
      <c r="V6" s="15" t="str">
        <f>IF(AND('Mapa final'!$Y$16="Muy Alta",'Mapa final'!$AA$16="Moderado"),CONCATENATE("R1C",'Mapa final'!$O$16),"")</f>
        <v/>
      </c>
      <c r="W6" s="16" t="str">
        <f>IF(AND('Mapa final'!$Y$17="Muy Alta",'Mapa final'!$AA$17="Moderado"),CONCATENATE("R1C",'Mapa final'!$O$17),"")</f>
        <v/>
      </c>
      <c r="X6" s="16" t="str">
        <f>IF(AND('Mapa final'!$Y$18="Muy Alta",'Mapa final'!$AA$18="Moderado"),CONCATENATE("R1C",'Mapa final'!$O$18),"")</f>
        <v/>
      </c>
      <c r="Y6" s="16" t="e">
        <f>IF(AND('Mapa final'!#REF!="Muy Alta",'Mapa final'!#REF!="Moderado"),CONCATENATE("R1C",'Mapa final'!#REF!),"")</f>
        <v>#REF!</v>
      </c>
      <c r="Z6" s="16" t="e">
        <f>IF(AND('Mapa final'!#REF!="Muy Alta",'Mapa final'!#REF!="Moderado"),CONCATENATE("R1C",'Mapa final'!#REF!),"")</f>
        <v>#REF!</v>
      </c>
      <c r="AA6" s="17" t="e">
        <f>IF(AND('Mapa final'!#REF!="Muy Alta",'Mapa final'!#REF!="Moderado"),CONCATENATE("R1C",'Mapa final'!#REF!),"")</f>
        <v>#REF!</v>
      </c>
      <c r="AB6" s="15" t="str">
        <f>IF(AND('Mapa final'!$Y$16="Muy Alta",'Mapa final'!$AA$16="Mayor"),CONCATENATE("R1C",'Mapa final'!$O$16),"")</f>
        <v/>
      </c>
      <c r="AC6" s="16" t="str">
        <f>IF(AND('Mapa final'!$Y$17="Muy Alta",'Mapa final'!$AA$17="Mayor"),CONCATENATE("R1C",'Mapa final'!$O$17),"")</f>
        <v/>
      </c>
      <c r="AD6" s="16" t="str">
        <f>IF(AND('Mapa final'!$Y$18="Muy Alta",'Mapa final'!$AA$18="Mayor"),CONCATENATE("R1C",'Mapa final'!$O$18),"")</f>
        <v/>
      </c>
      <c r="AE6" s="16" t="e">
        <f>IF(AND('Mapa final'!#REF!="Muy Alta",'Mapa final'!#REF!="Mayor"),CONCATENATE("R1C",'Mapa final'!#REF!),"")</f>
        <v>#REF!</v>
      </c>
      <c r="AF6" s="16" t="e">
        <f>IF(AND('Mapa final'!#REF!="Muy Alta",'Mapa final'!#REF!="Mayor"),CONCATENATE("R1C",'Mapa final'!#REF!),"")</f>
        <v>#REF!</v>
      </c>
      <c r="AG6" s="17" t="e">
        <f>IF(AND('Mapa final'!#REF!="Muy Alta",'Mapa final'!#REF!="Mayor"),CONCATENATE("R1C",'Mapa final'!#REF!),"")</f>
        <v>#REF!</v>
      </c>
      <c r="AH6" s="18" t="str">
        <f>IF(AND('Mapa final'!$Y$16="Muy Alta",'Mapa final'!$AA$16="Catastrófico"),CONCATENATE("R1C",'Mapa final'!$O$16),"")</f>
        <v/>
      </c>
      <c r="AI6" s="19" t="str">
        <f>IF(AND('Mapa final'!$Y$17="Muy Alta",'Mapa final'!$AA$17="Catastrófico"),CONCATENATE("R1C",'Mapa final'!$O$17),"")</f>
        <v/>
      </c>
      <c r="AJ6" s="19" t="str">
        <f>IF(AND('Mapa final'!$Y$18="Muy Alta",'Mapa final'!$AA$18="Catastrófico"),CONCATENATE("R1C",'Mapa final'!$O$18),"")</f>
        <v/>
      </c>
      <c r="AK6" s="19" t="e">
        <f>IF(AND('Mapa final'!#REF!="Muy Alta",'Mapa final'!#REF!="Catastrófico"),CONCATENATE("R1C",'Mapa final'!#REF!),"")</f>
        <v>#REF!</v>
      </c>
      <c r="AL6" s="19" t="e">
        <f>IF(AND('Mapa final'!#REF!="Muy Alta",'Mapa final'!#REF!="Catastrófico"),CONCATENATE("R1C",'Mapa final'!#REF!),"")</f>
        <v>#REF!</v>
      </c>
      <c r="AM6" s="20" t="e">
        <f>IF(AND('Mapa final'!#REF!="Muy Alta",'Mapa final'!#REF!="Catastrófico"),CONCATENATE("R1C",'Mapa final'!#REF!),"")</f>
        <v>#REF!</v>
      </c>
      <c r="AN6" s="1"/>
      <c r="AO6" s="284" t="s">
        <v>96</v>
      </c>
      <c r="AP6" s="270"/>
      <c r="AQ6" s="270"/>
      <c r="AR6" s="270"/>
      <c r="AS6" s="270"/>
      <c r="AT6" s="271"/>
    </row>
    <row r="7" spans="2:46" ht="15" customHeight="1" x14ac:dyDescent="0.35">
      <c r="B7" s="263"/>
      <c r="C7" s="218"/>
      <c r="D7" s="219"/>
      <c r="E7" s="230"/>
      <c r="F7" s="218"/>
      <c r="G7" s="218"/>
      <c r="H7" s="218"/>
      <c r="I7" s="219"/>
      <c r="J7" s="21" t="str">
        <f>IF(AND('Mapa final'!$Y$21="Muy Alta",'Mapa final'!$AA$21="Leve"),CONCATENATE("R2C",'Mapa final'!$O$21),"")</f>
        <v/>
      </c>
      <c r="K7" s="22" t="e">
        <f>IF(AND('Mapa final'!#REF!="Muy Alta",'Mapa final'!#REF!="Leve"),CONCATENATE("R2C",'Mapa final'!#REF!),"")</f>
        <v>#REF!</v>
      </c>
      <c r="L7" s="22" t="e">
        <f>IF(AND('Mapa final'!#REF!="Muy Alta",'Mapa final'!#REF!="Leve"),CONCATENATE("R2C",'Mapa final'!#REF!),"")</f>
        <v>#REF!</v>
      </c>
      <c r="M7" s="22" t="e">
        <f>IF(AND('Mapa final'!#REF!="Muy Alta",'Mapa final'!#REF!="Leve"),CONCATENATE("R2C",'Mapa final'!#REF!),"")</f>
        <v>#REF!</v>
      </c>
      <c r="N7" s="22" t="str">
        <f>IF(AND('Mapa final'!$Y$22="Muy Alta",'Mapa final'!$AA$22="Leve"),CONCATENATE("R2C",'Mapa final'!$O$22),"")</f>
        <v/>
      </c>
      <c r="O7" s="23" t="str">
        <f>IF(AND('Mapa final'!$Y$23="Muy Alta",'Mapa final'!$AA$23="Leve"),CONCATENATE("R2C",'Mapa final'!$O$23),"")</f>
        <v/>
      </c>
      <c r="P7" s="21" t="str">
        <f>IF(AND('Mapa final'!$Y$21="Muy Alta",'Mapa final'!$AA$21="Menor"),CONCATENATE("R2C",'Mapa final'!$O$21),"")</f>
        <v/>
      </c>
      <c r="Q7" s="22" t="e">
        <f>IF(AND('Mapa final'!#REF!="Muy Alta",'Mapa final'!#REF!="Menor"),CONCATENATE("R2C",'Mapa final'!#REF!),"")</f>
        <v>#REF!</v>
      </c>
      <c r="R7" s="22" t="e">
        <f>IF(AND('Mapa final'!#REF!="Muy Alta",'Mapa final'!#REF!="Menor"),CONCATENATE("R2C",'Mapa final'!#REF!),"")</f>
        <v>#REF!</v>
      </c>
      <c r="S7" s="22" t="e">
        <f>IF(AND('Mapa final'!#REF!="Muy Alta",'Mapa final'!#REF!="Menor"),CONCATENATE("R2C",'Mapa final'!#REF!),"")</f>
        <v>#REF!</v>
      </c>
      <c r="T7" s="22" t="str">
        <f>IF(AND('Mapa final'!$Y$22="Muy Alta",'Mapa final'!$AA$22="Menor"),CONCATENATE("R2C",'Mapa final'!$O$22),"")</f>
        <v/>
      </c>
      <c r="U7" s="23" t="str">
        <f>IF(AND('Mapa final'!$Y$23="Muy Alta",'Mapa final'!$AA$23="Menor"),CONCATENATE("R2C",'Mapa final'!$O$23),"")</f>
        <v/>
      </c>
      <c r="V7" s="21" t="str">
        <f>IF(AND('Mapa final'!$Y$21="Muy Alta",'Mapa final'!$AA$21="Moderado"),CONCATENATE("R2C",'Mapa final'!$O$21),"")</f>
        <v/>
      </c>
      <c r="W7" s="22" t="e">
        <f>IF(AND('Mapa final'!#REF!="Muy Alta",'Mapa final'!#REF!="Moderado"),CONCATENATE("R2C",'Mapa final'!#REF!),"")</f>
        <v>#REF!</v>
      </c>
      <c r="X7" s="22" t="e">
        <f>IF(AND('Mapa final'!#REF!="Muy Alta",'Mapa final'!#REF!="Moderado"),CONCATENATE("R2C",'Mapa final'!#REF!),"")</f>
        <v>#REF!</v>
      </c>
      <c r="Y7" s="22" t="e">
        <f>IF(AND('Mapa final'!#REF!="Muy Alta",'Mapa final'!#REF!="Moderado"),CONCATENATE("R2C",'Mapa final'!#REF!),"")</f>
        <v>#REF!</v>
      </c>
      <c r="Z7" s="22" t="str">
        <f>IF(AND('Mapa final'!$Y$22="Muy Alta",'Mapa final'!$AA$22="Moderado"),CONCATENATE("R2C",'Mapa final'!$O$22),"")</f>
        <v/>
      </c>
      <c r="AA7" s="23" t="str">
        <f>IF(AND('Mapa final'!$Y$23="Muy Alta",'Mapa final'!$AA$23="Moderado"),CONCATENATE("R2C",'Mapa final'!$O$23),"")</f>
        <v/>
      </c>
      <c r="AB7" s="21" t="str">
        <f>IF(AND('Mapa final'!$Y$21="Muy Alta",'Mapa final'!$AA$21="Mayor"),CONCATENATE("R2C",'Mapa final'!$O$21),"")</f>
        <v/>
      </c>
      <c r="AC7" s="22" t="e">
        <f>IF(AND('Mapa final'!#REF!="Muy Alta",'Mapa final'!#REF!="Mayor"),CONCATENATE("R2C",'Mapa final'!#REF!),"")</f>
        <v>#REF!</v>
      </c>
      <c r="AD7" s="22" t="e">
        <f>IF(AND('Mapa final'!#REF!="Muy Alta",'Mapa final'!#REF!="Mayor"),CONCATENATE("R2C",'Mapa final'!#REF!),"")</f>
        <v>#REF!</v>
      </c>
      <c r="AE7" s="22" t="e">
        <f>IF(AND('Mapa final'!#REF!="Muy Alta",'Mapa final'!#REF!="Mayor"),CONCATENATE("R2C",'Mapa final'!#REF!),"")</f>
        <v>#REF!</v>
      </c>
      <c r="AF7" s="22" t="str">
        <f>IF(AND('Mapa final'!$Y$22="Muy Alta",'Mapa final'!$AA$22="Mayor"),CONCATENATE("R2C",'Mapa final'!$O$22),"")</f>
        <v/>
      </c>
      <c r="AG7" s="23" t="str">
        <f>IF(AND('Mapa final'!$Y$23="Muy Alta",'Mapa final'!$AA$23="Mayor"),CONCATENATE("R2C",'Mapa final'!$O$23),"")</f>
        <v/>
      </c>
      <c r="AH7" s="24" t="str">
        <f>IF(AND('Mapa final'!$Y$21="Muy Alta",'Mapa final'!$AA$21="Catastrófico"),CONCATENATE("R2C",'Mapa final'!$O$21),"")</f>
        <v/>
      </c>
      <c r="AI7" s="25" t="e">
        <f>IF(AND('Mapa final'!#REF!="Muy Alta",'Mapa final'!#REF!="Catastrófico"),CONCATENATE("R2C",'Mapa final'!#REF!),"")</f>
        <v>#REF!</v>
      </c>
      <c r="AJ7" s="25" t="e">
        <f>IF(AND('Mapa final'!#REF!="Muy Alta",'Mapa final'!#REF!="Catastrófico"),CONCATENATE("R2C",'Mapa final'!#REF!),"")</f>
        <v>#REF!</v>
      </c>
      <c r="AK7" s="25" t="e">
        <f>IF(AND('Mapa final'!#REF!="Muy Alta",'Mapa final'!#REF!="Catastrófico"),CONCATENATE("R2C",'Mapa final'!#REF!),"")</f>
        <v>#REF!</v>
      </c>
      <c r="AL7" s="25" t="str">
        <f>IF(AND('Mapa final'!$Y$22="Muy Alta",'Mapa final'!$AA$22="Catastrófico"),CONCATENATE("R2C",'Mapa final'!$O$22),"")</f>
        <v/>
      </c>
      <c r="AM7" s="26" t="str">
        <f>IF(AND('Mapa final'!$Y$23="Muy Alta",'Mapa final'!$AA$23="Catastrófico"),CONCATENATE("R2C",'Mapa final'!$O$23),"")</f>
        <v/>
      </c>
      <c r="AN7" s="1"/>
      <c r="AO7" s="272"/>
      <c r="AP7" s="218"/>
      <c r="AQ7" s="218"/>
      <c r="AR7" s="218"/>
      <c r="AS7" s="218"/>
      <c r="AT7" s="273"/>
    </row>
    <row r="8" spans="2:46" ht="15" customHeight="1" x14ac:dyDescent="0.35">
      <c r="B8" s="263"/>
      <c r="C8" s="218"/>
      <c r="D8" s="219"/>
      <c r="E8" s="230"/>
      <c r="F8" s="218"/>
      <c r="G8" s="218"/>
      <c r="H8" s="218"/>
      <c r="I8" s="219"/>
      <c r="J8" s="21" t="str">
        <f>IF(AND('Mapa final'!$Y$26="Muy Alta",'Mapa final'!$AA$26="Leve"),CONCATENATE("R3C",'Mapa final'!$O$26),"")</f>
        <v/>
      </c>
      <c r="K8" s="22" t="str">
        <f>IF(AND('Mapa final'!$Y$27="Muy Alta",'Mapa final'!$AA$27="Leve"),CONCATENATE("R3C",'Mapa final'!$O$27),"")</f>
        <v/>
      </c>
      <c r="L8" s="22" t="str">
        <f>IF(AND('Mapa final'!$Y$28="Muy Alta",'Mapa final'!$AA$28="Leve"),CONCATENATE("R3C",'Mapa final'!$O$28),"")</f>
        <v/>
      </c>
      <c r="M8" s="22" t="e">
        <f>IF(AND('Mapa final'!#REF!="Muy Alta",'Mapa final'!#REF!="Leve"),CONCATENATE("R3C",'Mapa final'!#REF!),"")</f>
        <v>#REF!</v>
      </c>
      <c r="N8" s="22" t="e">
        <f>IF(AND('Mapa final'!#REF!="Muy Alta",'Mapa final'!#REF!="Leve"),CONCATENATE("R3C",'Mapa final'!#REF!),"")</f>
        <v>#REF!</v>
      </c>
      <c r="O8" s="23" t="e">
        <f>IF(AND('Mapa final'!#REF!="Muy Alta",'Mapa final'!#REF!="Leve"),CONCATENATE("R3C",'Mapa final'!#REF!),"")</f>
        <v>#REF!</v>
      </c>
      <c r="P8" s="21" t="str">
        <f>IF(AND('Mapa final'!$Y$26="Muy Alta",'Mapa final'!$AA$26="Menor"),CONCATENATE("R3C",'Mapa final'!$O$26),"")</f>
        <v/>
      </c>
      <c r="Q8" s="22" t="str">
        <f>IF(AND('Mapa final'!$Y$27="Muy Alta",'Mapa final'!$AA$27="Menor"),CONCATENATE("R3C",'Mapa final'!$O$27),"")</f>
        <v/>
      </c>
      <c r="R8" s="22" t="str">
        <f>IF(AND('Mapa final'!$Y$28="Muy Alta",'Mapa final'!$AA$28="Menor"),CONCATENATE("R3C",'Mapa final'!$O$28),"")</f>
        <v/>
      </c>
      <c r="S8" s="22" t="e">
        <f>IF(AND('Mapa final'!#REF!="Muy Alta",'Mapa final'!#REF!="Menor"),CONCATENATE("R3C",'Mapa final'!#REF!),"")</f>
        <v>#REF!</v>
      </c>
      <c r="T8" s="22" t="e">
        <f>IF(AND('Mapa final'!#REF!="Muy Alta",'Mapa final'!#REF!="Menor"),CONCATENATE("R3C",'Mapa final'!#REF!),"")</f>
        <v>#REF!</v>
      </c>
      <c r="U8" s="23" t="e">
        <f>IF(AND('Mapa final'!#REF!="Muy Alta",'Mapa final'!#REF!="Menor"),CONCATENATE("R3C",'Mapa final'!#REF!),"")</f>
        <v>#REF!</v>
      </c>
      <c r="V8" s="21" t="str">
        <f>IF(AND('Mapa final'!$Y$26="Muy Alta",'Mapa final'!$AA$26="Moderado"),CONCATENATE("R3C",'Mapa final'!$O$26),"")</f>
        <v/>
      </c>
      <c r="W8" s="22" t="str">
        <f>IF(AND('Mapa final'!$Y$27="Muy Alta",'Mapa final'!$AA$27="Moderado"),CONCATENATE("R3C",'Mapa final'!$O$27),"")</f>
        <v/>
      </c>
      <c r="X8" s="22" t="str">
        <f>IF(AND('Mapa final'!$Y$28="Muy Alta",'Mapa final'!$AA$28="Moderado"),CONCATENATE("R3C",'Mapa final'!$O$28),"")</f>
        <v/>
      </c>
      <c r="Y8" s="22" t="e">
        <f>IF(AND('Mapa final'!#REF!="Muy Alta",'Mapa final'!#REF!="Moderado"),CONCATENATE("R3C",'Mapa final'!#REF!),"")</f>
        <v>#REF!</v>
      </c>
      <c r="Z8" s="22" t="e">
        <f>IF(AND('Mapa final'!#REF!="Muy Alta",'Mapa final'!#REF!="Moderado"),CONCATENATE("R3C",'Mapa final'!#REF!),"")</f>
        <v>#REF!</v>
      </c>
      <c r="AA8" s="23" t="e">
        <f>IF(AND('Mapa final'!#REF!="Muy Alta",'Mapa final'!#REF!="Moderado"),CONCATENATE("R3C",'Mapa final'!#REF!),"")</f>
        <v>#REF!</v>
      </c>
      <c r="AB8" s="21" t="str">
        <f>IF(AND('Mapa final'!$Y$26="Muy Alta",'Mapa final'!$AA$26="Mayor"),CONCATENATE("R3C",'Mapa final'!$O$26),"")</f>
        <v/>
      </c>
      <c r="AC8" s="22" t="str">
        <f>IF(AND('Mapa final'!$Y$27="Muy Alta",'Mapa final'!$AA$27="Mayor"),CONCATENATE("R3C",'Mapa final'!$O$27),"")</f>
        <v/>
      </c>
      <c r="AD8" s="22" t="str">
        <f>IF(AND('Mapa final'!$Y$28="Muy Alta",'Mapa final'!$AA$28="Mayor"),CONCATENATE("R3C",'Mapa final'!$O$28),"")</f>
        <v/>
      </c>
      <c r="AE8" s="22" t="e">
        <f>IF(AND('Mapa final'!#REF!="Muy Alta",'Mapa final'!#REF!="Mayor"),CONCATENATE("R3C",'Mapa final'!#REF!),"")</f>
        <v>#REF!</v>
      </c>
      <c r="AF8" s="22" t="e">
        <f>IF(AND('Mapa final'!#REF!="Muy Alta",'Mapa final'!#REF!="Mayor"),CONCATENATE("R3C",'Mapa final'!#REF!),"")</f>
        <v>#REF!</v>
      </c>
      <c r="AG8" s="23" t="e">
        <f>IF(AND('Mapa final'!#REF!="Muy Alta",'Mapa final'!#REF!="Mayor"),CONCATENATE("R3C",'Mapa final'!#REF!),"")</f>
        <v>#REF!</v>
      </c>
      <c r="AH8" s="24" t="str">
        <f>IF(AND('Mapa final'!$Y$26="Muy Alta",'Mapa final'!$AA$26="Catastrófico"),CONCATENATE("R3C",'Mapa final'!$O$26),"")</f>
        <v/>
      </c>
      <c r="AI8" s="25" t="str">
        <f>IF(AND('Mapa final'!$Y$27="Muy Alta",'Mapa final'!$AA$27="Catastrófico"),CONCATENATE("R3C",'Mapa final'!$O$27),"")</f>
        <v/>
      </c>
      <c r="AJ8" s="25" t="str">
        <f>IF(AND('Mapa final'!$Y$28="Muy Alta",'Mapa final'!$AA$28="Catastrófico"),CONCATENATE("R3C",'Mapa final'!$O$28),"")</f>
        <v/>
      </c>
      <c r="AK8" s="25" t="e">
        <f>IF(AND('Mapa final'!#REF!="Muy Alta",'Mapa final'!#REF!="Catastrófico"),CONCATENATE("R3C",'Mapa final'!#REF!),"")</f>
        <v>#REF!</v>
      </c>
      <c r="AL8" s="25" t="e">
        <f>IF(AND('Mapa final'!#REF!="Muy Alta",'Mapa final'!#REF!="Catastrófico"),CONCATENATE("R3C",'Mapa final'!#REF!),"")</f>
        <v>#REF!</v>
      </c>
      <c r="AM8" s="26" t="e">
        <f>IF(AND('Mapa final'!#REF!="Muy Alta",'Mapa final'!#REF!="Catastrófico"),CONCATENATE("R3C",'Mapa final'!#REF!),"")</f>
        <v>#REF!</v>
      </c>
      <c r="AN8" s="1"/>
      <c r="AO8" s="272"/>
      <c r="AP8" s="218"/>
      <c r="AQ8" s="218"/>
      <c r="AR8" s="218"/>
      <c r="AS8" s="218"/>
      <c r="AT8" s="273"/>
    </row>
    <row r="9" spans="2:46" ht="15" customHeight="1" x14ac:dyDescent="0.35">
      <c r="B9" s="263"/>
      <c r="C9" s="218"/>
      <c r="D9" s="219"/>
      <c r="E9" s="230"/>
      <c r="F9" s="218"/>
      <c r="G9" s="218"/>
      <c r="H9" s="218"/>
      <c r="I9" s="219"/>
      <c r="J9" s="21" t="str">
        <f>IF(AND('Mapa final'!$Y$31="Muy Alta",'Mapa final'!$AA$31="Leve"),CONCATENATE("R4C",'Mapa final'!$O$31),"")</f>
        <v/>
      </c>
      <c r="K9" s="22" t="str">
        <f>IF(AND('Mapa final'!$Y$32="Muy Alta",'Mapa final'!$AA$32="Leve"),CONCATENATE("R4C",'Mapa final'!$O$32),"")</f>
        <v/>
      </c>
      <c r="L9" s="22" t="e">
        <f>IF(AND('Mapa final'!#REF!="Muy Alta",'Mapa final'!#REF!="Leve"),CONCATENATE("R4C",'Mapa final'!#REF!),"")</f>
        <v>#REF!</v>
      </c>
      <c r="M9" s="22" t="str">
        <f>IF(AND('Mapa final'!$Y$33="Muy Alta",'Mapa final'!$AA$33="Leve"),CONCATENATE("R4C",'Mapa final'!$O$33),"")</f>
        <v/>
      </c>
      <c r="N9" s="22" t="e">
        <f>IF(AND('Mapa final'!#REF!="Muy Alta",'Mapa final'!#REF!="Leve"),CONCATENATE("R4C",'Mapa final'!#REF!),"")</f>
        <v>#REF!</v>
      </c>
      <c r="O9" s="23" t="e">
        <f>IF(AND('Mapa final'!#REF!="Muy Alta",'Mapa final'!#REF!="Leve"),CONCATENATE("R4C",'Mapa final'!#REF!),"")</f>
        <v>#REF!</v>
      </c>
      <c r="P9" s="21" t="str">
        <f>IF(AND('Mapa final'!$Y$31="Muy Alta",'Mapa final'!$AA$31="Menor"),CONCATENATE("R4C",'Mapa final'!$O$31),"")</f>
        <v/>
      </c>
      <c r="Q9" s="22" t="str">
        <f>IF(AND('Mapa final'!$Y$32="Muy Alta",'Mapa final'!$AA$32="Menor"),CONCATENATE("R4C",'Mapa final'!$O$32),"")</f>
        <v/>
      </c>
      <c r="R9" s="22" t="e">
        <f>IF(AND('Mapa final'!#REF!="Muy Alta",'Mapa final'!#REF!="Menor"),CONCATENATE("R4C",'Mapa final'!#REF!),"")</f>
        <v>#REF!</v>
      </c>
      <c r="S9" s="22" t="str">
        <f>IF(AND('Mapa final'!$Y$33="Muy Alta",'Mapa final'!$AA$33="Menor"),CONCATENATE("R4C",'Mapa final'!$O$33),"")</f>
        <v/>
      </c>
      <c r="T9" s="22" t="e">
        <f>IF(AND('Mapa final'!#REF!="Muy Alta",'Mapa final'!#REF!="Menor"),CONCATENATE("R4C",'Mapa final'!#REF!),"")</f>
        <v>#REF!</v>
      </c>
      <c r="U9" s="23" t="e">
        <f>IF(AND('Mapa final'!#REF!="Muy Alta",'Mapa final'!#REF!="Menor"),CONCATENATE("R4C",'Mapa final'!#REF!),"")</f>
        <v>#REF!</v>
      </c>
      <c r="V9" s="21" t="str">
        <f>IF(AND('Mapa final'!$Y$31="Muy Alta",'Mapa final'!$AA$31="Moderado"),CONCATENATE("R4C",'Mapa final'!$O$31),"")</f>
        <v/>
      </c>
      <c r="W9" s="22" t="str">
        <f>IF(AND('Mapa final'!$Y$32="Muy Alta",'Mapa final'!$AA$32="Moderado"),CONCATENATE("R4C",'Mapa final'!$O$32),"")</f>
        <v/>
      </c>
      <c r="X9" s="22" t="e">
        <f>IF(AND('Mapa final'!#REF!="Muy Alta",'Mapa final'!#REF!="Moderado"),CONCATENATE("R4C",'Mapa final'!#REF!),"")</f>
        <v>#REF!</v>
      </c>
      <c r="Y9" s="22" t="str">
        <f>IF(AND('Mapa final'!$Y$33="Muy Alta",'Mapa final'!$AA$33="Moderado"),CONCATENATE("R4C",'Mapa final'!$O$33),"")</f>
        <v/>
      </c>
      <c r="Z9" s="22" t="e">
        <f>IF(AND('Mapa final'!#REF!="Muy Alta",'Mapa final'!#REF!="Moderado"),CONCATENATE("R4C",'Mapa final'!#REF!),"")</f>
        <v>#REF!</v>
      </c>
      <c r="AA9" s="23" t="e">
        <f>IF(AND('Mapa final'!#REF!="Muy Alta",'Mapa final'!#REF!="Moderado"),CONCATENATE("R4C",'Mapa final'!#REF!),"")</f>
        <v>#REF!</v>
      </c>
      <c r="AB9" s="21" t="str">
        <f>IF(AND('Mapa final'!$Y$31="Muy Alta",'Mapa final'!$AA$31="Mayor"),CONCATENATE("R4C",'Mapa final'!$O$31),"")</f>
        <v/>
      </c>
      <c r="AC9" s="22" t="str">
        <f>IF(AND('Mapa final'!$Y$32="Muy Alta",'Mapa final'!$AA$32="Mayor"),CONCATENATE("R4C",'Mapa final'!$O$32),"")</f>
        <v/>
      </c>
      <c r="AD9" s="22" t="e">
        <f>IF(AND('Mapa final'!#REF!="Muy Alta",'Mapa final'!#REF!="Mayor"),CONCATENATE("R4C",'Mapa final'!#REF!),"")</f>
        <v>#REF!</v>
      </c>
      <c r="AE9" s="22" t="str">
        <f>IF(AND('Mapa final'!$Y$33="Muy Alta",'Mapa final'!$AA$33="Mayor"),CONCATENATE("R4C",'Mapa final'!$O$33),"")</f>
        <v/>
      </c>
      <c r="AF9" s="22" t="e">
        <f>IF(AND('Mapa final'!#REF!="Muy Alta",'Mapa final'!#REF!="Mayor"),CONCATENATE("R4C",'Mapa final'!#REF!),"")</f>
        <v>#REF!</v>
      </c>
      <c r="AG9" s="23" t="e">
        <f>IF(AND('Mapa final'!#REF!="Muy Alta",'Mapa final'!#REF!="Mayor"),CONCATENATE("R4C",'Mapa final'!#REF!),"")</f>
        <v>#REF!</v>
      </c>
      <c r="AH9" s="24" t="str">
        <f>IF(AND('Mapa final'!$Y$31="Muy Alta",'Mapa final'!$AA$31="Catastrófico"),CONCATENATE("R4C",'Mapa final'!$O$31),"")</f>
        <v/>
      </c>
      <c r="AI9" s="25" t="str">
        <f>IF(AND('Mapa final'!$Y$32="Muy Alta",'Mapa final'!$AA$32="Catastrófico"),CONCATENATE("R4C",'Mapa final'!$O$32),"")</f>
        <v/>
      </c>
      <c r="AJ9" s="25" t="e">
        <f>IF(AND('Mapa final'!#REF!="Muy Alta",'Mapa final'!#REF!="Catastrófico"),CONCATENATE("R4C",'Mapa final'!#REF!),"")</f>
        <v>#REF!</v>
      </c>
      <c r="AK9" s="25" t="str">
        <f>IF(AND('Mapa final'!$Y$33="Muy Alta",'Mapa final'!$AA$33="Catastrófico"),CONCATENATE("R4C",'Mapa final'!$O$33),"")</f>
        <v/>
      </c>
      <c r="AL9" s="25" t="e">
        <f>IF(AND('Mapa final'!#REF!="Muy Alta",'Mapa final'!#REF!="Catastrófico"),CONCATENATE("R4C",'Mapa final'!#REF!),"")</f>
        <v>#REF!</v>
      </c>
      <c r="AM9" s="26" t="e">
        <f>IF(AND('Mapa final'!#REF!="Muy Alta",'Mapa final'!#REF!="Catastrófico"),CONCATENATE("R4C",'Mapa final'!#REF!),"")</f>
        <v>#REF!</v>
      </c>
      <c r="AN9" s="1"/>
      <c r="AO9" s="272"/>
      <c r="AP9" s="218"/>
      <c r="AQ9" s="218"/>
      <c r="AR9" s="218"/>
      <c r="AS9" s="218"/>
      <c r="AT9" s="273"/>
    </row>
    <row r="10" spans="2:46" ht="15" customHeight="1" x14ac:dyDescent="0.35">
      <c r="B10" s="263"/>
      <c r="C10" s="218"/>
      <c r="D10" s="219"/>
      <c r="E10" s="230"/>
      <c r="F10" s="218"/>
      <c r="G10" s="218"/>
      <c r="H10" s="218"/>
      <c r="I10" s="219"/>
      <c r="J10" s="21" t="str">
        <f>IF(AND('Mapa final'!$Y$36="Muy Alta",'Mapa final'!$AA$36="Leve"),CONCATENATE("R5C",'Mapa final'!$O$36),"")</f>
        <v/>
      </c>
      <c r="K10" s="22" t="str">
        <f>IF(AND('Mapa final'!$Y$37="Muy Alta",'Mapa final'!$AA$37="Leve"),CONCATENATE("R5C",'Mapa final'!$O$37),"")</f>
        <v/>
      </c>
      <c r="L10" s="22" t="str">
        <f>IF(AND('Mapa final'!$Y$38="Muy Alta",'Mapa final'!$AA$38="Leve"),CONCATENATE("R5C",'Mapa final'!$O$38),"")</f>
        <v/>
      </c>
      <c r="M10" s="22" t="e">
        <f>IF(AND('Mapa final'!#REF!="Muy Alta",'Mapa final'!#REF!="Leve"),CONCATENATE("R5C",'Mapa final'!#REF!),"")</f>
        <v>#REF!</v>
      </c>
      <c r="N10" s="22" t="e">
        <f>IF(AND('Mapa final'!#REF!="Muy Alta",'Mapa final'!#REF!="Leve"),CONCATENATE("R5C",'Mapa final'!#REF!),"")</f>
        <v>#REF!</v>
      </c>
      <c r="O10" s="23" t="e">
        <f>IF(AND('Mapa final'!#REF!="Muy Alta",'Mapa final'!#REF!="Leve"),CONCATENATE("R5C",'Mapa final'!#REF!),"")</f>
        <v>#REF!</v>
      </c>
      <c r="P10" s="21" t="str">
        <f>IF(AND('Mapa final'!$Y$36="Muy Alta",'Mapa final'!$AA$36="Menor"),CONCATENATE("R5C",'Mapa final'!$O$36),"")</f>
        <v/>
      </c>
      <c r="Q10" s="22" t="str">
        <f>IF(AND('Mapa final'!$Y$37="Muy Alta",'Mapa final'!$AA$37="Menor"),CONCATENATE("R5C",'Mapa final'!$O$37),"")</f>
        <v/>
      </c>
      <c r="R10" s="22" t="str">
        <f>IF(AND('Mapa final'!$Y$38="Muy Alta",'Mapa final'!$AA$38="Menor"),CONCATENATE("R5C",'Mapa final'!$O$38),"")</f>
        <v/>
      </c>
      <c r="S10" s="22" t="e">
        <f>IF(AND('Mapa final'!#REF!="Muy Alta",'Mapa final'!#REF!="Menor"),CONCATENATE("R5C",'Mapa final'!#REF!),"")</f>
        <v>#REF!</v>
      </c>
      <c r="T10" s="22" t="e">
        <f>IF(AND('Mapa final'!#REF!="Muy Alta",'Mapa final'!#REF!="Menor"),CONCATENATE("R5C",'Mapa final'!#REF!),"")</f>
        <v>#REF!</v>
      </c>
      <c r="U10" s="23" t="e">
        <f>IF(AND('Mapa final'!#REF!="Muy Alta",'Mapa final'!#REF!="Menor"),CONCATENATE("R5C",'Mapa final'!#REF!),"")</f>
        <v>#REF!</v>
      </c>
      <c r="V10" s="21" t="str">
        <f>IF(AND('Mapa final'!$Y$36="Muy Alta",'Mapa final'!$AA$36="Moderado"),CONCATENATE("R5C",'Mapa final'!$O$36),"")</f>
        <v/>
      </c>
      <c r="W10" s="22" t="str">
        <f>IF(AND('Mapa final'!$Y$37="Muy Alta",'Mapa final'!$AA$37="Moderado"),CONCATENATE("R5C",'Mapa final'!$O$37),"")</f>
        <v/>
      </c>
      <c r="X10" s="22" t="str">
        <f>IF(AND('Mapa final'!$Y$38="Muy Alta",'Mapa final'!$AA$38="Moderado"),CONCATENATE("R5C",'Mapa final'!$O$38),"")</f>
        <v/>
      </c>
      <c r="Y10" s="22" t="e">
        <f>IF(AND('Mapa final'!#REF!="Muy Alta",'Mapa final'!#REF!="Moderado"),CONCATENATE("R5C",'Mapa final'!#REF!),"")</f>
        <v>#REF!</v>
      </c>
      <c r="Z10" s="22" t="e">
        <f>IF(AND('Mapa final'!#REF!="Muy Alta",'Mapa final'!#REF!="Moderado"),CONCATENATE("R5C",'Mapa final'!#REF!),"")</f>
        <v>#REF!</v>
      </c>
      <c r="AA10" s="23" t="e">
        <f>IF(AND('Mapa final'!#REF!="Muy Alta",'Mapa final'!#REF!="Moderado"),CONCATENATE("R5C",'Mapa final'!#REF!),"")</f>
        <v>#REF!</v>
      </c>
      <c r="AB10" s="21" t="str">
        <f>IF(AND('Mapa final'!$Y$36="Muy Alta",'Mapa final'!$AA$36="Mayor"),CONCATENATE("R5C",'Mapa final'!$O$36),"")</f>
        <v/>
      </c>
      <c r="AC10" s="22" t="str">
        <f>IF(AND('Mapa final'!$Y$37="Muy Alta",'Mapa final'!$AA$37="Mayor"),CONCATENATE("R5C",'Mapa final'!$O$37),"")</f>
        <v/>
      </c>
      <c r="AD10" s="22" t="str">
        <f>IF(AND('Mapa final'!$Y$38="Muy Alta",'Mapa final'!$AA$38="Mayor"),CONCATENATE("R5C",'Mapa final'!$O$38),"")</f>
        <v/>
      </c>
      <c r="AE10" s="22" t="e">
        <f>IF(AND('Mapa final'!#REF!="Muy Alta",'Mapa final'!#REF!="Mayor"),CONCATENATE("R5C",'Mapa final'!#REF!),"")</f>
        <v>#REF!</v>
      </c>
      <c r="AF10" s="22" t="e">
        <f>IF(AND('Mapa final'!#REF!="Muy Alta",'Mapa final'!#REF!="Mayor"),CONCATENATE("R5C",'Mapa final'!#REF!),"")</f>
        <v>#REF!</v>
      </c>
      <c r="AG10" s="23" t="e">
        <f>IF(AND('Mapa final'!#REF!="Muy Alta",'Mapa final'!#REF!="Mayor"),CONCATENATE("R5C",'Mapa final'!#REF!),"")</f>
        <v>#REF!</v>
      </c>
      <c r="AH10" s="24" t="str">
        <f>IF(AND('Mapa final'!$Y$36="Muy Alta",'Mapa final'!$AA$36="Catastrófico"),CONCATENATE("R5C",'Mapa final'!$O$36),"")</f>
        <v/>
      </c>
      <c r="AI10" s="25" t="str">
        <f>IF(AND('Mapa final'!$Y$37="Muy Alta",'Mapa final'!$AA$37="Catastrófico"),CONCATENATE("R5C",'Mapa final'!$O$37),"")</f>
        <v/>
      </c>
      <c r="AJ10" s="25" t="str">
        <f>IF(AND('Mapa final'!$Y$38="Muy Alta",'Mapa final'!$AA$38="Catastrófico"),CONCATENATE("R5C",'Mapa final'!$O$38),"")</f>
        <v/>
      </c>
      <c r="AK10" s="25" t="e">
        <f>IF(AND('Mapa final'!#REF!="Muy Alta",'Mapa final'!#REF!="Catastrófico"),CONCATENATE("R5C",'Mapa final'!#REF!),"")</f>
        <v>#REF!</v>
      </c>
      <c r="AL10" s="25" t="e">
        <f>IF(AND('Mapa final'!#REF!="Muy Alta",'Mapa final'!#REF!="Catastrófico"),CONCATENATE("R5C",'Mapa final'!#REF!),"")</f>
        <v>#REF!</v>
      </c>
      <c r="AM10" s="26" t="e">
        <f>IF(AND('Mapa final'!#REF!="Muy Alta",'Mapa final'!#REF!="Catastrófico"),CONCATENATE("R5C",'Mapa final'!#REF!),"")</f>
        <v>#REF!</v>
      </c>
      <c r="AN10" s="1"/>
      <c r="AO10" s="272"/>
      <c r="AP10" s="218"/>
      <c r="AQ10" s="218"/>
      <c r="AR10" s="218"/>
      <c r="AS10" s="218"/>
      <c r="AT10" s="273"/>
    </row>
    <row r="11" spans="2:46" ht="15" customHeight="1" x14ac:dyDescent="0.35">
      <c r="B11" s="263"/>
      <c r="C11" s="218"/>
      <c r="D11" s="219"/>
      <c r="E11" s="230"/>
      <c r="F11" s="218"/>
      <c r="G11" s="218"/>
      <c r="H11" s="218"/>
      <c r="I11" s="219"/>
      <c r="J11" s="21" t="str">
        <f>IF(AND('Mapa final'!$Y$41="Muy Alta",'Mapa final'!$AA$41="Leve"),CONCATENATE("R6C",'Mapa final'!$O$41),"")</f>
        <v/>
      </c>
      <c r="K11" s="22" t="str">
        <f>IF(AND('Mapa final'!$Y$42="Muy Alta",'Mapa final'!$AA$42="Leve"),CONCATENATE("R6C",'Mapa final'!$O$42),"")</f>
        <v/>
      </c>
      <c r="L11" s="22" t="str">
        <f>IF(AND('Mapa final'!$Y$43="Muy Alta",'Mapa final'!$AA$43="Leve"),CONCATENATE("R6C",'Mapa final'!$O$43),"")</f>
        <v/>
      </c>
      <c r="M11" s="22" t="e">
        <f>IF(AND('Mapa final'!#REF!="Muy Alta",'Mapa final'!#REF!="Leve"),CONCATENATE("R6C",'Mapa final'!#REF!),"")</f>
        <v>#REF!</v>
      </c>
      <c r="N11" s="22" t="e">
        <f>IF(AND('Mapa final'!#REF!="Muy Alta",'Mapa final'!#REF!="Leve"),CONCATENATE("R6C",'Mapa final'!#REF!),"")</f>
        <v>#REF!</v>
      </c>
      <c r="O11" s="23" t="e">
        <f>IF(AND('Mapa final'!#REF!="Muy Alta",'Mapa final'!#REF!="Leve"),CONCATENATE("R6C",'Mapa final'!#REF!),"")</f>
        <v>#REF!</v>
      </c>
      <c r="P11" s="21" t="str">
        <f>IF(AND('Mapa final'!$Y$41="Muy Alta",'Mapa final'!$AA$41="Menor"),CONCATENATE("R6C",'Mapa final'!$O$41),"")</f>
        <v/>
      </c>
      <c r="Q11" s="22" t="str">
        <f>IF(AND('Mapa final'!$Y$42="Muy Alta",'Mapa final'!$AA$42="Menor"),CONCATENATE("R6C",'Mapa final'!$O$42),"")</f>
        <v/>
      </c>
      <c r="R11" s="22" t="str">
        <f>IF(AND('Mapa final'!$Y$43="Muy Alta",'Mapa final'!$AA$43="Menor"),CONCATENATE("R6C",'Mapa final'!$O$43),"")</f>
        <v/>
      </c>
      <c r="S11" s="22" t="e">
        <f>IF(AND('Mapa final'!#REF!="Muy Alta",'Mapa final'!#REF!="Menor"),CONCATENATE("R6C",'Mapa final'!#REF!),"")</f>
        <v>#REF!</v>
      </c>
      <c r="T11" s="22" t="e">
        <f>IF(AND('Mapa final'!#REF!="Muy Alta",'Mapa final'!#REF!="Menor"),CONCATENATE("R6C",'Mapa final'!#REF!),"")</f>
        <v>#REF!</v>
      </c>
      <c r="U11" s="23" t="e">
        <f>IF(AND('Mapa final'!#REF!="Muy Alta",'Mapa final'!#REF!="Menor"),CONCATENATE("R6C",'Mapa final'!#REF!),"")</f>
        <v>#REF!</v>
      </c>
      <c r="V11" s="21" t="str">
        <f>IF(AND('Mapa final'!$Y$41="Muy Alta",'Mapa final'!$AA$41="Moderado"),CONCATENATE("R6C",'Mapa final'!$O$41),"")</f>
        <v/>
      </c>
      <c r="W11" s="22" t="str">
        <f>IF(AND('Mapa final'!$Y$42="Muy Alta",'Mapa final'!$AA$42="Moderado"),CONCATENATE("R6C",'Mapa final'!$O$42),"")</f>
        <v/>
      </c>
      <c r="X11" s="22" t="str">
        <f>IF(AND('Mapa final'!$Y$43="Muy Alta",'Mapa final'!$AA$43="Moderado"),CONCATENATE("R6C",'Mapa final'!$O$43),"")</f>
        <v/>
      </c>
      <c r="Y11" s="22" t="e">
        <f>IF(AND('Mapa final'!#REF!="Muy Alta",'Mapa final'!#REF!="Moderado"),CONCATENATE("R6C",'Mapa final'!#REF!),"")</f>
        <v>#REF!</v>
      </c>
      <c r="Z11" s="22" t="e">
        <f>IF(AND('Mapa final'!#REF!="Muy Alta",'Mapa final'!#REF!="Moderado"),CONCATENATE("R6C",'Mapa final'!#REF!),"")</f>
        <v>#REF!</v>
      </c>
      <c r="AA11" s="23" t="e">
        <f>IF(AND('Mapa final'!#REF!="Muy Alta",'Mapa final'!#REF!="Moderado"),CONCATENATE("R6C",'Mapa final'!#REF!),"")</f>
        <v>#REF!</v>
      </c>
      <c r="AB11" s="21" t="str">
        <f>IF(AND('Mapa final'!$Y$41="Muy Alta",'Mapa final'!$AA$41="Mayor"),CONCATENATE("R6C",'Mapa final'!$O$41),"")</f>
        <v/>
      </c>
      <c r="AC11" s="22" t="str">
        <f>IF(AND('Mapa final'!$Y$42="Muy Alta",'Mapa final'!$AA$42="Mayor"),CONCATENATE("R6C",'Mapa final'!$O$42),"")</f>
        <v/>
      </c>
      <c r="AD11" s="22" t="str">
        <f>IF(AND('Mapa final'!$Y$43="Muy Alta",'Mapa final'!$AA$43="Mayor"),CONCATENATE("R6C",'Mapa final'!$O$43),"")</f>
        <v/>
      </c>
      <c r="AE11" s="22" t="e">
        <f>IF(AND('Mapa final'!#REF!="Muy Alta",'Mapa final'!#REF!="Mayor"),CONCATENATE("R6C",'Mapa final'!#REF!),"")</f>
        <v>#REF!</v>
      </c>
      <c r="AF11" s="22" t="e">
        <f>IF(AND('Mapa final'!#REF!="Muy Alta",'Mapa final'!#REF!="Mayor"),CONCATENATE("R6C",'Mapa final'!#REF!),"")</f>
        <v>#REF!</v>
      </c>
      <c r="AG11" s="23" t="e">
        <f>IF(AND('Mapa final'!#REF!="Muy Alta",'Mapa final'!#REF!="Mayor"),CONCATENATE("R6C",'Mapa final'!#REF!),"")</f>
        <v>#REF!</v>
      </c>
      <c r="AH11" s="24" t="str">
        <f>IF(AND('Mapa final'!$Y$41="Muy Alta",'Mapa final'!$AA$41="Catastrófico"),CONCATENATE("R6C",'Mapa final'!$O$41),"")</f>
        <v/>
      </c>
      <c r="AI11" s="25" t="str">
        <f>IF(AND('Mapa final'!$Y$42="Muy Alta",'Mapa final'!$AA$42="Catastrófico"),CONCATENATE("R6C",'Mapa final'!$O$42),"")</f>
        <v/>
      </c>
      <c r="AJ11" s="25" t="str">
        <f>IF(AND('Mapa final'!$Y$43="Muy Alta",'Mapa final'!$AA$43="Catastrófico"),CONCATENATE("R6C",'Mapa final'!$O$43),"")</f>
        <v/>
      </c>
      <c r="AK11" s="25" t="e">
        <f>IF(AND('Mapa final'!#REF!="Muy Alta",'Mapa final'!#REF!="Catastrófico"),CONCATENATE("R6C",'Mapa final'!#REF!),"")</f>
        <v>#REF!</v>
      </c>
      <c r="AL11" s="25" t="e">
        <f>IF(AND('Mapa final'!#REF!="Muy Alta",'Mapa final'!#REF!="Catastrófico"),CONCATENATE("R6C",'Mapa final'!#REF!),"")</f>
        <v>#REF!</v>
      </c>
      <c r="AM11" s="26" t="e">
        <f>IF(AND('Mapa final'!#REF!="Muy Alta",'Mapa final'!#REF!="Catastrófico"),CONCATENATE("R6C",'Mapa final'!#REF!),"")</f>
        <v>#REF!</v>
      </c>
      <c r="AN11" s="1"/>
      <c r="AO11" s="272"/>
      <c r="AP11" s="218"/>
      <c r="AQ11" s="218"/>
      <c r="AR11" s="218"/>
      <c r="AS11" s="218"/>
      <c r="AT11" s="273"/>
    </row>
    <row r="12" spans="2:46" ht="15" customHeight="1" x14ac:dyDescent="0.35">
      <c r="B12" s="263"/>
      <c r="C12" s="218"/>
      <c r="D12" s="219"/>
      <c r="E12" s="230"/>
      <c r="F12" s="218"/>
      <c r="G12" s="218"/>
      <c r="H12" s="218"/>
      <c r="I12" s="219"/>
      <c r="J12" s="21" t="e">
        <f>IF(AND('Mapa final'!#REF!="Muy Alta",'Mapa final'!#REF!="Leve"),CONCATENATE("R7C",'Mapa final'!#REF!),"")</f>
        <v>#REF!</v>
      </c>
      <c r="K12" s="22" t="e">
        <f>IF(AND('Mapa final'!#REF!="Muy Alta",'Mapa final'!#REF!="Leve"),CONCATENATE("R7C",'Mapa final'!#REF!),"")</f>
        <v>#REF!</v>
      </c>
      <c r="L12" s="22" t="e">
        <f>IF(AND('Mapa final'!#REF!="Muy Alta",'Mapa final'!#REF!="Leve"),CONCATENATE("R7C",'Mapa final'!#REF!),"")</f>
        <v>#REF!</v>
      </c>
      <c r="M12" s="22" t="e">
        <f>IF(AND('Mapa final'!#REF!="Muy Alta",'Mapa final'!#REF!="Leve"),CONCATENATE("R7C",'Mapa final'!#REF!),"")</f>
        <v>#REF!</v>
      </c>
      <c r="N12" s="22" t="e">
        <f>IF(AND('Mapa final'!#REF!="Muy Alta",'Mapa final'!#REF!="Leve"),CONCATENATE("R7C",'Mapa final'!#REF!),"")</f>
        <v>#REF!</v>
      </c>
      <c r="O12" s="23" t="e">
        <f>IF(AND('Mapa final'!#REF!="Muy Alta",'Mapa final'!#REF!="Leve"),CONCATENATE("R7C",'Mapa final'!#REF!),"")</f>
        <v>#REF!</v>
      </c>
      <c r="P12" s="21" t="e">
        <f>IF(AND('Mapa final'!#REF!="Muy Alta",'Mapa final'!#REF!="Menor"),CONCATENATE("R7C",'Mapa final'!#REF!),"")</f>
        <v>#REF!</v>
      </c>
      <c r="Q12" s="22" t="e">
        <f>IF(AND('Mapa final'!#REF!="Muy Alta",'Mapa final'!#REF!="Menor"),CONCATENATE("R7C",'Mapa final'!#REF!),"")</f>
        <v>#REF!</v>
      </c>
      <c r="R12" s="22" t="e">
        <f>IF(AND('Mapa final'!#REF!="Muy Alta",'Mapa final'!#REF!="Menor"),CONCATENATE("R7C",'Mapa final'!#REF!),"")</f>
        <v>#REF!</v>
      </c>
      <c r="S12" s="22" t="e">
        <f>IF(AND('Mapa final'!#REF!="Muy Alta",'Mapa final'!#REF!="Menor"),CONCATENATE("R7C",'Mapa final'!#REF!),"")</f>
        <v>#REF!</v>
      </c>
      <c r="T12" s="22" t="e">
        <f>IF(AND('Mapa final'!#REF!="Muy Alta",'Mapa final'!#REF!="Menor"),CONCATENATE("R7C",'Mapa final'!#REF!),"")</f>
        <v>#REF!</v>
      </c>
      <c r="U12" s="23" t="e">
        <f>IF(AND('Mapa final'!#REF!="Muy Alta",'Mapa final'!#REF!="Menor"),CONCATENATE("R7C",'Mapa final'!#REF!),"")</f>
        <v>#REF!</v>
      </c>
      <c r="V12" s="21" t="e">
        <f>IF(AND('Mapa final'!#REF!="Muy Alta",'Mapa final'!#REF!="Moderado"),CONCATENATE("R7C",'Mapa final'!#REF!),"")</f>
        <v>#REF!</v>
      </c>
      <c r="W12" s="22" t="e">
        <f>IF(AND('Mapa final'!#REF!="Muy Alta",'Mapa final'!#REF!="Moderado"),CONCATENATE("R7C",'Mapa final'!#REF!),"")</f>
        <v>#REF!</v>
      </c>
      <c r="X12" s="22" t="e">
        <f>IF(AND('Mapa final'!#REF!="Muy Alta",'Mapa final'!#REF!="Moderado"),CONCATENATE("R7C",'Mapa final'!#REF!),"")</f>
        <v>#REF!</v>
      </c>
      <c r="Y12" s="22" t="e">
        <f>IF(AND('Mapa final'!#REF!="Muy Alta",'Mapa final'!#REF!="Moderado"),CONCATENATE("R7C",'Mapa final'!#REF!),"")</f>
        <v>#REF!</v>
      </c>
      <c r="Z12" s="22" t="e">
        <f>IF(AND('Mapa final'!#REF!="Muy Alta",'Mapa final'!#REF!="Moderado"),CONCATENATE("R7C",'Mapa final'!#REF!),"")</f>
        <v>#REF!</v>
      </c>
      <c r="AA12" s="23" t="e">
        <f>IF(AND('Mapa final'!#REF!="Muy Alta",'Mapa final'!#REF!="Moderado"),CONCATENATE("R7C",'Mapa final'!#REF!),"")</f>
        <v>#REF!</v>
      </c>
      <c r="AB12" s="21" t="e">
        <f>IF(AND('Mapa final'!#REF!="Muy Alta",'Mapa final'!#REF!="Mayor"),CONCATENATE("R7C",'Mapa final'!#REF!),"")</f>
        <v>#REF!</v>
      </c>
      <c r="AC12" s="22" t="e">
        <f>IF(AND('Mapa final'!#REF!="Muy Alta",'Mapa final'!#REF!="Mayor"),CONCATENATE("R7C",'Mapa final'!#REF!),"")</f>
        <v>#REF!</v>
      </c>
      <c r="AD12" s="22" t="e">
        <f>IF(AND('Mapa final'!#REF!="Muy Alta",'Mapa final'!#REF!="Mayor"),CONCATENATE("R7C",'Mapa final'!#REF!),"")</f>
        <v>#REF!</v>
      </c>
      <c r="AE12" s="22" t="e">
        <f>IF(AND('Mapa final'!#REF!="Muy Alta",'Mapa final'!#REF!="Mayor"),CONCATENATE("R7C",'Mapa final'!#REF!),"")</f>
        <v>#REF!</v>
      </c>
      <c r="AF12" s="22" t="e">
        <f>IF(AND('Mapa final'!#REF!="Muy Alta",'Mapa final'!#REF!="Mayor"),CONCATENATE("R7C",'Mapa final'!#REF!),"")</f>
        <v>#REF!</v>
      </c>
      <c r="AG12" s="23" t="e">
        <f>IF(AND('Mapa final'!#REF!="Muy Alta",'Mapa final'!#REF!="Mayor"),CONCATENATE("R7C",'Mapa final'!#REF!),"")</f>
        <v>#REF!</v>
      </c>
      <c r="AH12" s="24" t="e">
        <f>IF(AND('Mapa final'!#REF!="Muy Alta",'Mapa final'!#REF!="Catastrófico"),CONCATENATE("R7C",'Mapa final'!#REF!),"")</f>
        <v>#REF!</v>
      </c>
      <c r="AI12" s="25" t="e">
        <f>IF(AND('Mapa final'!#REF!="Muy Alta",'Mapa final'!#REF!="Catastrófico"),CONCATENATE("R7C",'Mapa final'!#REF!),"")</f>
        <v>#REF!</v>
      </c>
      <c r="AJ12" s="25" t="e">
        <f>IF(AND('Mapa final'!#REF!="Muy Alta",'Mapa final'!#REF!="Catastrófico"),CONCATENATE("R7C",'Mapa final'!#REF!),"")</f>
        <v>#REF!</v>
      </c>
      <c r="AK12" s="25" t="e">
        <f>IF(AND('Mapa final'!#REF!="Muy Alta",'Mapa final'!#REF!="Catastrófico"),CONCATENATE("R7C",'Mapa final'!#REF!),"")</f>
        <v>#REF!</v>
      </c>
      <c r="AL12" s="25" t="e">
        <f>IF(AND('Mapa final'!#REF!="Muy Alta",'Mapa final'!#REF!="Catastrófico"),CONCATENATE("R7C",'Mapa final'!#REF!),"")</f>
        <v>#REF!</v>
      </c>
      <c r="AM12" s="26" t="e">
        <f>IF(AND('Mapa final'!#REF!="Muy Alta",'Mapa final'!#REF!="Catastrófico"),CONCATENATE("R7C",'Mapa final'!#REF!),"")</f>
        <v>#REF!</v>
      </c>
      <c r="AN12" s="1"/>
      <c r="AO12" s="272"/>
      <c r="AP12" s="218"/>
      <c r="AQ12" s="218"/>
      <c r="AR12" s="218"/>
      <c r="AS12" s="218"/>
      <c r="AT12" s="273"/>
    </row>
    <row r="13" spans="2:46" ht="15" customHeight="1" x14ac:dyDescent="0.35">
      <c r="B13" s="263"/>
      <c r="C13" s="218"/>
      <c r="D13" s="219"/>
      <c r="E13" s="230"/>
      <c r="F13" s="218"/>
      <c r="G13" s="218"/>
      <c r="H13" s="218"/>
      <c r="I13" s="219"/>
      <c r="J13" s="21" t="e">
        <f>IF(AND('Mapa final'!#REF!="Muy Alta",'Mapa final'!#REF!="Leve"),CONCATENATE("R8C",'Mapa final'!#REF!),"")</f>
        <v>#REF!</v>
      </c>
      <c r="K13" s="22" t="e">
        <f>IF(AND('Mapa final'!#REF!="Muy Alta",'Mapa final'!#REF!="Leve"),CONCATENATE("R8C",'Mapa final'!#REF!),"")</f>
        <v>#REF!</v>
      </c>
      <c r="L13" s="22" t="e">
        <f>IF(AND('Mapa final'!#REF!="Muy Alta",'Mapa final'!#REF!="Leve"),CONCATENATE("R8C",'Mapa final'!#REF!),"")</f>
        <v>#REF!</v>
      </c>
      <c r="M13" s="22" t="e">
        <f>IF(AND('Mapa final'!#REF!="Muy Alta",'Mapa final'!#REF!="Leve"),CONCATENATE("R8C",'Mapa final'!#REF!),"")</f>
        <v>#REF!</v>
      </c>
      <c r="N13" s="22" t="e">
        <f>IF(AND('Mapa final'!#REF!="Muy Alta",'Mapa final'!#REF!="Leve"),CONCATENATE("R8C",'Mapa final'!#REF!),"")</f>
        <v>#REF!</v>
      </c>
      <c r="O13" s="23" t="e">
        <f>IF(AND('Mapa final'!#REF!="Muy Alta",'Mapa final'!#REF!="Leve"),CONCATENATE("R8C",'Mapa final'!#REF!),"")</f>
        <v>#REF!</v>
      </c>
      <c r="P13" s="21" t="e">
        <f>IF(AND('Mapa final'!#REF!="Muy Alta",'Mapa final'!#REF!="Menor"),CONCATENATE("R8C",'Mapa final'!#REF!),"")</f>
        <v>#REF!</v>
      </c>
      <c r="Q13" s="22" t="e">
        <f>IF(AND('Mapa final'!#REF!="Muy Alta",'Mapa final'!#REF!="Menor"),CONCATENATE("R8C",'Mapa final'!#REF!),"")</f>
        <v>#REF!</v>
      </c>
      <c r="R13" s="22" t="e">
        <f>IF(AND('Mapa final'!#REF!="Muy Alta",'Mapa final'!#REF!="Menor"),CONCATENATE("R8C",'Mapa final'!#REF!),"")</f>
        <v>#REF!</v>
      </c>
      <c r="S13" s="22" t="e">
        <f>IF(AND('Mapa final'!#REF!="Muy Alta",'Mapa final'!#REF!="Menor"),CONCATENATE("R8C",'Mapa final'!#REF!),"")</f>
        <v>#REF!</v>
      </c>
      <c r="T13" s="22" t="e">
        <f>IF(AND('Mapa final'!#REF!="Muy Alta",'Mapa final'!#REF!="Menor"),CONCATENATE("R8C",'Mapa final'!#REF!),"")</f>
        <v>#REF!</v>
      </c>
      <c r="U13" s="23" t="e">
        <f>IF(AND('Mapa final'!#REF!="Muy Alta",'Mapa final'!#REF!="Menor"),CONCATENATE("R8C",'Mapa final'!#REF!),"")</f>
        <v>#REF!</v>
      </c>
      <c r="V13" s="21" t="e">
        <f>IF(AND('Mapa final'!#REF!="Muy Alta",'Mapa final'!#REF!="Moderado"),CONCATENATE("R8C",'Mapa final'!#REF!),"")</f>
        <v>#REF!</v>
      </c>
      <c r="W13" s="22" t="e">
        <f>IF(AND('Mapa final'!#REF!="Muy Alta",'Mapa final'!#REF!="Moderado"),CONCATENATE("R8C",'Mapa final'!#REF!),"")</f>
        <v>#REF!</v>
      </c>
      <c r="X13" s="22" t="e">
        <f>IF(AND('Mapa final'!#REF!="Muy Alta",'Mapa final'!#REF!="Moderado"),CONCATENATE("R8C",'Mapa final'!#REF!),"")</f>
        <v>#REF!</v>
      </c>
      <c r="Y13" s="22" t="e">
        <f>IF(AND('Mapa final'!#REF!="Muy Alta",'Mapa final'!#REF!="Moderado"),CONCATENATE("R8C",'Mapa final'!#REF!),"")</f>
        <v>#REF!</v>
      </c>
      <c r="Z13" s="22" t="e">
        <f>IF(AND('Mapa final'!#REF!="Muy Alta",'Mapa final'!#REF!="Moderado"),CONCATENATE("R8C",'Mapa final'!#REF!),"")</f>
        <v>#REF!</v>
      </c>
      <c r="AA13" s="23" t="e">
        <f>IF(AND('Mapa final'!#REF!="Muy Alta",'Mapa final'!#REF!="Moderado"),CONCATENATE("R8C",'Mapa final'!#REF!),"")</f>
        <v>#REF!</v>
      </c>
      <c r="AB13" s="21" t="e">
        <f>IF(AND('Mapa final'!#REF!="Muy Alta",'Mapa final'!#REF!="Mayor"),CONCATENATE("R8C",'Mapa final'!#REF!),"")</f>
        <v>#REF!</v>
      </c>
      <c r="AC13" s="22" t="e">
        <f>IF(AND('Mapa final'!#REF!="Muy Alta",'Mapa final'!#REF!="Mayor"),CONCATENATE("R8C",'Mapa final'!#REF!),"")</f>
        <v>#REF!</v>
      </c>
      <c r="AD13" s="22" t="e">
        <f>IF(AND('Mapa final'!#REF!="Muy Alta",'Mapa final'!#REF!="Mayor"),CONCATENATE("R8C",'Mapa final'!#REF!),"")</f>
        <v>#REF!</v>
      </c>
      <c r="AE13" s="22" t="e">
        <f>IF(AND('Mapa final'!#REF!="Muy Alta",'Mapa final'!#REF!="Mayor"),CONCATENATE("R8C",'Mapa final'!#REF!),"")</f>
        <v>#REF!</v>
      </c>
      <c r="AF13" s="22" t="e">
        <f>IF(AND('Mapa final'!#REF!="Muy Alta",'Mapa final'!#REF!="Mayor"),CONCATENATE("R8C",'Mapa final'!#REF!),"")</f>
        <v>#REF!</v>
      </c>
      <c r="AG13" s="23" t="e">
        <f>IF(AND('Mapa final'!#REF!="Muy Alta",'Mapa final'!#REF!="Mayor"),CONCATENATE("R8C",'Mapa final'!#REF!),"")</f>
        <v>#REF!</v>
      </c>
      <c r="AH13" s="24" t="e">
        <f>IF(AND('Mapa final'!#REF!="Muy Alta",'Mapa final'!#REF!="Catastrófico"),CONCATENATE("R8C",'Mapa final'!#REF!),"")</f>
        <v>#REF!</v>
      </c>
      <c r="AI13" s="25" t="e">
        <f>IF(AND('Mapa final'!#REF!="Muy Alta",'Mapa final'!#REF!="Catastrófico"),CONCATENATE("R8C",'Mapa final'!#REF!),"")</f>
        <v>#REF!</v>
      </c>
      <c r="AJ13" s="25" t="e">
        <f>IF(AND('Mapa final'!#REF!="Muy Alta",'Mapa final'!#REF!="Catastrófico"),CONCATENATE("R8C",'Mapa final'!#REF!),"")</f>
        <v>#REF!</v>
      </c>
      <c r="AK13" s="25" t="e">
        <f>IF(AND('Mapa final'!#REF!="Muy Alta",'Mapa final'!#REF!="Catastrófico"),CONCATENATE("R8C",'Mapa final'!#REF!),"")</f>
        <v>#REF!</v>
      </c>
      <c r="AL13" s="25" t="e">
        <f>IF(AND('Mapa final'!#REF!="Muy Alta",'Mapa final'!#REF!="Catastrófico"),CONCATENATE("R8C",'Mapa final'!#REF!),"")</f>
        <v>#REF!</v>
      </c>
      <c r="AM13" s="26" t="e">
        <f>IF(AND('Mapa final'!#REF!="Muy Alta",'Mapa final'!#REF!="Catastrófico"),CONCATENATE("R8C",'Mapa final'!#REF!),"")</f>
        <v>#REF!</v>
      </c>
      <c r="AN13" s="1"/>
      <c r="AO13" s="272"/>
      <c r="AP13" s="218"/>
      <c r="AQ13" s="218"/>
      <c r="AR13" s="218"/>
      <c r="AS13" s="218"/>
      <c r="AT13" s="273"/>
    </row>
    <row r="14" spans="2:46" ht="15" customHeight="1" x14ac:dyDescent="0.35">
      <c r="B14" s="263"/>
      <c r="C14" s="218"/>
      <c r="D14" s="219"/>
      <c r="E14" s="230"/>
      <c r="F14" s="218"/>
      <c r="G14" s="218"/>
      <c r="H14" s="218"/>
      <c r="I14" s="219"/>
      <c r="J14" s="21" t="e">
        <f>IF(AND('Mapa final'!#REF!="Muy Alta",'Mapa final'!#REF!="Leve"),CONCATENATE("R9C",'Mapa final'!#REF!),"")</f>
        <v>#REF!</v>
      </c>
      <c r="K14" s="22" t="e">
        <f>IF(AND('Mapa final'!#REF!="Muy Alta",'Mapa final'!#REF!="Leve"),CONCATENATE("R9C",'Mapa final'!#REF!),"")</f>
        <v>#REF!</v>
      </c>
      <c r="L14" s="22" t="e">
        <f>IF(AND('Mapa final'!#REF!="Muy Alta",'Mapa final'!#REF!="Leve"),CONCATENATE("R9C",'Mapa final'!#REF!),"")</f>
        <v>#REF!</v>
      </c>
      <c r="M14" s="22" t="e">
        <f>IF(AND('Mapa final'!#REF!="Muy Alta",'Mapa final'!#REF!="Leve"),CONCATENATE("R9C",'Mapa final'!#REF!),"")</f>
        <v>#REF!</v>
      </c>
      <c r="N14" s="22" t="e">
        <f>IF(AND('Mapa final'!#REF!="Muy Alta",'Mapa final'!#REF!="Leve"),CONCATENATE("R9C",'Mapa final'!#REF!),"")</f>
        <v>#REF!</v>
      </c>
      <c r="O14" s="23" t="e">
        <f>IF(AND('Mapa final'!#REF!="Muy Alta",'Mapa final'!#REF!="Leve"),CONCATENATE("R9C",'Mapa final'!#REF!),"")</f>
        <v>#REF!</v>
      </c>
      <c r="P14" s="21" t="e">
        <f>IF(AND('Mapa final'!#REF!="Muy Alta",'Mapa final'!#REF!="Menor"),CONCATENATE("R9C",'Mapa final'!#REF!),"")</f>
        <v>#REF!</v>
      </c>
      <c r="Q14" s="22" t="e">
        <f>IF(AND('Mapa final'!#REF!="Muy Alta",'Mapa final'!#REF!="Menor"),CONCATENATE("R9C",'Mapa final'!#REF!),"")</f>
        <v>#REF!</v>
      </c>
      <c r="R14" s="22" t="e">
        <f>IF(AND('Mapa final'!#REF!="Muy Alta",'Mapa final'!#REF!="Menor"),CONCATENATE("R9C",'Mapa final'!#REF!),"")</f>
        <v>#REF!</v>
      </c>
      <c r="S14" s="22" t="e">
        <f>IF(AND('Mapa final'!#REF!="Muy Alta",'Mapa final'!#REF!="Menor"),CONCATENATE("R9C",'Mapa final'!#REF!),"")</f>
        <v>#REF!</v>
      </c>
      <c r="T14" s="22" t="e">
        <f>IF(AND('Mapa final'!#REF!="Muy Alta",'Mapa final'!#REF!="Menor"),CONCATENATE("R9C",'Mapa final'!#REF!),"")</f>
        <v>#REF!</v>
      </c>
      <c r="U14" s="23" t="e">
        <f>IF(AND('Mapa final'!#REF!="Muy Alta",'Mapa final'!#REF!="Menor"),CONCATENATE("R9C",'Mapa final'!#REF!),"")</f>
        <v>#REF!</v>
      </c>
      <c r="V14" s="21" t="e">
        <f>IF(AND('Mapa final'!#REF!="Muy Alta",'Mapa final'!#REF!="Moderado"),CONCATENATE("R9C",'Mapa final'!#REF!),"")</f>
        <v>#REF!</v>
      </c>
      <c r="W14" s="22" t="e">
        <f>IF(AND('Mapa final'!#REF!="Muy Alta",'Mapa final'!#REF!="Moderado"),CONCATENATE("R9C",'Mapa final'!#REF!),"")</f>
        <v>#REF!</v>
      </c>
      <c r="X14" s="22" t="e">
        <f>IF(AND('Mapa final'!#REF!="Muy Alta",'Mapa final'!#REF!="Moderado"),CONCATENATE("R9C",'Mapa final'!#REF!),"")</f>
        <v>#REF!</v>
      </c>
      <c r="Y14" s="22" t="e">
        <f>IF(AND('Mapa final'!#REF!="Muy Alta",'Mapa final'!#REF!="Moderado"),CONCATENATE("R9C",'Mapa final'!#REF!),"")</f>
        <v>#REF!</v>
      </c>
      <c r="Z14" s="22" t="e">
        <f>IF(AND('Mapa final'!#REF!="Muy Alta",'Mapa final'!#REF!="Moderado"),CONCATENATE("R9C",'Mapa final'!#REF!),"")</f>
        <v>#REF!</v>
      </c>
      <c r="AA14" s="23" t="e">
        <f>IF(AND('Mapa final'!#REF!="Muy Alta",'Mapa final'!#REF!="Moderado"),CONCATENATE("R9C",'Mapa final'!#REF!),"")</f>
        <v>#REF!</v>
      </c>
      <c r="AB14" s="21" t="e">
        <f>IF(AND('Mapa final'!#REF!="Muy Alta",'Mapa final'!#REF!="Mayor"),CONCATENATE("R9C",'Mapa final'!#REF!),"")</f>
        <v>#REF!</v>
      </c>
      <c r="AC14" s="22" t="e">
        <f>IF(AND('Mapa final'!#REF!="Muy Alta",'Mapa final'!#REF!="Mayor"),CONCATENATE("R9C",'Mapa final'!#REF!),"")</f>
        <v>#REF!</v>
      </c>
      <c r="AD14" s="22" t="e">
        <f>IF(AND('Mapa final'!#REF!="Muy Alta",'Mapa final'!#REF!="Mayor"),CONCATENATE("R9C",'Mapa final'!#REF!),"")</f>
        <v>#REF!</v>
      </c>
      <c r="AE14" s="22" t="e">
        <f>IF(AND('Mapa final'!#REF!="Muy Alta",'Mapa final'!#REF!="Mayor"),CONCATENATE("R9C",'Mapa final'!#REF!),"")</f>
        <v>#REF!</v>
      </c>
      <c r="AF14" s="22" t="e">
        <f>IF(AND('Mapa final'!#REF!="Muy Alta",'Mapa final'!#REF!="Mayor"),CONCATENATE("R9C",'Mapa final'!#REF!),"")</f>
        <v>#REF!</v>
      </c>
      <c r="AG14" s="23" t="e">
        <f>IF(AND('Mapa final'!#REF!="Muy Alta",'Mapa final'!#REF!="Mayor"),CONCATENATE("R9C",'Mapa final'!#REF!),"")</f>
        <v>#REF!</v>
      </c>
      <c r="AH14" s="24" t="e">
        <f>IF(AND('Mapa final'!#REF!="Muy Alta",'Mapa final'!#REF!="Catastrófico"),CONCATENATE("R9C",'Mapa final'!#REF!),"")</f>
        <v>#REF!</v>
      </c>
      <c r="AI14" s="25" t="e">
        <f>IF(AND('Mapa final'!#REF!="Muy Alta",'Mapa final'!#REF!="Catastrófico"),CONCATENATE("R9C",'Mapa final'!#REF!),"")</f>
        <v>#REF!</v>
      </c>
      <c r="AJ14" s="25" t="e">
        <f>IF(AND('Mapa final'!#REF!="Muy Alta",'Mapa final'!#REF!="Catastrófico"),CONCATENATE("R9C",'Mapa final'!#REF!),"")</f>
        <v>#REF!</v>
      </c>
      <c r="AK14" s="25" t="e">
        <f>IF(AND('Mapa final'!#REF!="Muy Alta",'Mapa final'!#REF!="Catastrófico"),CONCATENATE("R9C",'Mapa final'!#REF!),"")</f>
        <v>#REF!</v>
      </c>
      <c r="AL14" s="25" t="e">
        <f>IF(AND('Mapa final'!#REF!="Muy Alta",'Mapa final'!#REF!="Catastrófico"),CONCATENATE("R9C",'Mapa final'!#REF!),"")</f>
        <v>#REF!</v>
      </c>
      <c r="AM14" s="26" t="e">
        <f>IF(AND('Mapa final'!#REF!="Muy Alta",'Mapa final'!#REF!="Catastrófico"),CONCATENATE("R9C",'Mapa final'!#REF!),"")</f>
        <v>#REF!</v>
      </c>
      <c r="AN14" s="1"/>
      <c r="AO14" s="272"/>
      <c r="AP14" s="218"/>
      <c r="AQ14" s="218"/>
      <c r="AR14" s="218"/>
      <c r="AS14" s="218"/>
      <c r="AT14" s="273"/>
    </row>
    <row r="15" spans="2:46" ht="15.75" customHeight="1" x14ac:dyDescent="0.35">
      <c r="B15" s="263"/>
      <c r="C15" s="218"/>
      <c r="D15" s="219"/>
      <c r="E15" s="253"/>
      <c r="F15" s="254"/>
      <c r="G15" s="254"/>
      <c r="H15" s="254"/>
      <c r="I15" s="257"/>
      <c r="J15" s="27" t="e">
        <f>IF(AND('Mapa final'!#REF!="Muy Alta",'Mapa final'!#REF!="Leve"),CONCATENATE("R10C",'Mapa final'!#REF!),"")</f>
        <v>#REF!</v>
      </c>
      <c r="K15" s="28" t="e">
        <f>IF(AND('Mapa final'!#REF!="Muy Alta",'Mapa final'!#REF!="Leve"),CONCATENATE("R10C",'Mapa final'!#REF!),"")</f>
        <v>#REF!</v>
      </c>
      <c r="L15" s="28" t="e">
        <f>IF(AND('Mapa final'!#REF!="Muy Alta",'Mapa final'!#REF!="Leve"),CONCATENATE("R10C",'Mapa final'!#REF!),"")</f>
        <v>#REF!</v>
      </c>
      <c r="M15" s="28" t="e">
        <f>IF(AND('Mapa final'!#REF!="Muy Alta",'Mapa final'!#REF!="Leve"),CONCATENATE("R10C",'Mapa final'!#REF!),"")</f>
        <v>#REF!</v>
      </c>
      <c r="N15" s="28" t="e">
        <f>IF(AND('Mapa final'!#REF!="Muy Alta",'Mapa final'!#REF!="Leve"),CONCATENATE("R10C",'Mapa final'!#REF!),"")</f>
        <v>#REF!</v>
      </c>
      <c r="O15" s="29" t="e">
        <f>IF(AND('Mapa final'!#REF!="Muy Alta",'Mapa final'!#REF!="Leve"),CONCATENATE("R10C",'Mapa final'!#REF!),"")</f>
        <v>#REF!</v>
      </c>
      <c r="P15" s="21" t="e">
        <f>IF(AND('Mapa final'!#REF!="Muy Alta",'Mapa final'!#REF!="Menor"),CONCATENATE("R10C",'Mapa final'!#REF!),"")</f>
        <v>#REF!</v>
      </c>
      <c r="Q15" s="22" t="e">
        <f>IF(AND('Mapa final'!#REF!="Muy Alta",'Mapa final'!#REF!="Menor"),CONCATENATE("R10C",'Mapa final'!#REF!),"")</f>
        <v>#REF!</v>
      </c>
      <c r="R15" s="22" t="e">
        <f>IF(AND('Mapa final'!#REF!="Muy Alta",'Mapa final'!#REF!="Menor"),CONCATENATE("R10C",'Mapa final'!#REF!),"")</f>
        <v>#REF!</v>
      </c>
      <c r="S15" s="22" t="e">
        <f>IF(AND('Mapa final'!#REF!="Muy Alta",'Mapa final'!#REF!="Menor"),CONCATENATE("R10C",'Mapa final'!#REF!),"")</f>
        <v>#REF!</v>
      </c>
      <c r="T15" s="22" t="e">
        <f>IF(AND('Mapa final'!#REF!="Muy Alta",'Mapa final'!#REF!="Menor"),CONCATENATE("R10C",'Mapa final'!#REF!),"")</f>
        <v>#REF!</v>
      </c>
      <c r="U15" s="23" t="e">
        <f>IF(AND('Mapa final'!#REF!="Muy Alta",'Mapa final'!#REF!="Menor"),CONCATENATE("R10C",'Mapa final'!#REF!),"")</f>
        <v>#REF!</v>
      </c>
      <c r="V15" s="27" t="e">
        <f>IF(AND('Mapa final'!#REF!="Muy Alta",'Mapa final'!#REF!="Moderado"),CONCATENATE("R10C",'Mapa final'!#REF!),"")</f>
        <v>#REF!</v>
      </c>
      <c r="W15" s="28" t="e">
        <f>IF(AND('Mapa final'!#REF!="Muy Alta",'Mapa final'!#REF!="Moderado"),CONCATENATE("R10C",'Mapa final'!#REF!),"")</f>
        <v>#REF!</v>
      </c>
      <c r="X15" s="28" t="e">
        <f>IF(AND('Mapa final'!#REF!="Muy Alta",'Mapa final'!#REF!="Moderado"),CONCATENATE("R10C",'Mapa final'!#REF!),"")</f>
        <v>#REF!</v>
      </c>
      <c r="Y15" s="28" t="e">
        <f>IF(AND('Mapa final'!#REF!="Muy Alta",'Mapa final'!#REF!="Moderado"),CONCATENATE("R10C",'Mapa final'!#REF!),"")</f>
        <v>#REF!</v>
      </c>
      <c r="Z15" s="28" t="e">
        <f>IF(AND('Mapa final'!#REF!="Muy Alta",'Mapa final'!#REF!="Moderado"),CONCATENATE("R10C",'Mapa final'!#REF!),"")</f>
        <v>#REF!</v>
      </c>
      <c r="AA15" s="29" t="e">
        <f>IF(AND('Mapa final'!#REF!="Muy Alta",'Mapa final'!#REF!="Moderado"),CONCATENATE("R10C",'Mapa final'!#REF!),"")</f>
        <v>#REF!</v>
      </c>
      <c r="AB15" s="21" t="e">
        <f>IF(AND('Mapa final'!#REF!="Muy Alta",'Mapa final'!#REF!="Mayor"),CONCATENATE("R10C",'Mapa final'!#REF!),"")</f>
        <v>#REF!</v>
      </c>
      <c r="AC15" s="22" t="e">
        <f>IF(AND('Mapa final'!#REF!="Muy Alta",'Mapa final'!#REF!="Mayor"),CONCATENATE("R10C",'Mapa final'!#REF!),"")</f>
        <v>#REF!</v>
      </c>
      <c r="AD15" s="22" t="e">
        <f>IF(AND('Mapa final'!#REF!="Muy Alta",'Mapa final'!#REF!="Mayor"),CONCATENATE("R10C",'Mapa final'!#REF!),"")</f>
        <v>#REF!</v>
      </c>
      <c r="AE15" s="22" t="e">
        <f>IF(AND('Mapa final'!#REF!="Muy Alta",'Mapa final'!#REF!="Mayor"),CONCATENATE("R10C",'Mapa final'!#REF!),"")</f>
        <v>#REF!</v>
      </c>
      <c r="AF15" s="22" t="e">
        <f>IF(AND('Mapa final'!#REF!="Muy Alta",'Mapa final'!#REF!="Mayor"),CONCATENATE("R10C",'Mapa final'!#REF!),"")</f>
        <v>#REF!</v>
      </c>
      <c r="AG15" s="23" t="e">
        <f>IF(AND('Mapa final'!#REF!="Muy Alta",'Mapa final'!#REF!="Mayor"),CONCATENATE("R10C",'Mapa final'!#REF!),"")</f>
        <v>#REF!</v>
      </c>
      <c r="AH15" s="30" t="e">
        <f>IF(AND('Mapa final'!#REF!="Muy Alta",'Mapa final'!#REF!="Catastrófico"),CONCATENATE("R10C",'Mapa final'!#REF!),"")</f>
        <v>#REF!</v>
      </c>
      <c r="AI15" s="31" t="e">
        <f>IF(AND('Mapa final'!#REF!="Muy Alta",'Mapa final'!#REF!="Catastrófico"),CONCATENATE("R10C",'Mapa final'!#REF!),"")</f>
        <v>#REF!</v>
      </c>
      <c r="AJ15" s="31" t="e">
        <f>IF(AND('Mapa final'!#REF!="Muy Alta",'Mapa final'!#REF!="Catastrófico"),CONCATENATE("R10C",'Mapa final'!#REF!),"")</f>
        <v>#REF!</v>
      </c>
      <c r="AK15" s="31" t="e">
        <f>IF(AND('Mapa final'!#REF!="Muy Alta",'Mapa final'!#REF!="Catastrófico"),CONCATENATE("R10C",'Mapa final'!#REF!),"")</f>
        <v>#REF!</v>
      </c>
      <c r="AL15" s="31" t="e">
        <f>IF(AND('Mapa final'!#REF!="Muy Alta",'Mapa final'!#REF!="Catastrófico"),CONCATENATE("R10C",'Mapa final'!#REF!),"")</f>
        <v>#REF!</v>
      </c>
      <c r="AM15" s="32" t="e">
        <f>IF(AND('Mapa final'!#REF!="Muy Alta",'Mapa final'!#REF!="Catastrófico"),CONCATENATE("R10C",'Mapa final'!#REF!),"")</f>
        <v>#REF!</v>
      </c>
      <c r="AN15" s="1"/>
      <c r="AO15" s="274"/>
      <c r="AP15" s="275"/>
      <c r="AQ15" s="275"/>
      <c r="AR15" s="275"/>
      <c r="AS15" s="275"/>
      <c r="AT15" s="276"/>
    </row>
    <row r="16" spans="2:46" ht="15" customHeight="1" x14ac:dyDescent="0.35">
      <c r="B16" s="263"/>
      <c r="C16" s="218"/>
      <c r="D16" s="219"/>
      <c r="E16" s="281" t="s">
        <v>97</v>
      </c>
      <c r="F16" s="252"/>
      <c r="G16" s="252"/>
      <c r="H16" s="252"/>
      <c r="I16" s="252"/>
      <c r="J16" s="33" t="str">
        <f>IF(AND('Mapa final'!$Y$16="Alta",'Mapa final'!$AA$16="Leve"),CONCATENATE("R1C",'Mapa final'!$O$16),"")</f>
        <v/>
      </c>
      <c r="K16" s="34" t="str">
        <f>IF(AND('Mapa final'!$Y$17="Alta",'Mapa final'!$AA$17="Leve"),CONCATENATE("R1C",'Mapa final'!$O$17),"")</f>
        <v/>
      </c>
      <c r="L16" s="34" t="str">
        <f>IF(AND('Mapa final'!$Y$18="Alta",'Mapa final'!$AA$18="Leve"),CONCATENATE("R1C",'Mapa final'!$O$18),"")</f>
        <v/>
      </c>
      <c r="M16" s="34" t="e">
        <f>IF(AND('Mapa final'!#REF!="Alta",'Mapa final'!#REF!="Leve"),CONCATENATE("R1C",'Mapa final'!#REF!),"")</f>
        <v>#REF!</v>
      </c>
      <c r="N16" s="34" t="e">
        <f>IF(AND('Mapa final'!#REF!="Alta",'Mapa final'!#REF!="Leve"),CONCATENATE("R1C",'Mapa final'!#REF!),"")</f>
        <v>#REF!</v>
      </c>
      <c r="O16" s="35" t="e">
        <f>IF(AND('Mapa final'!#REF!="Alta",'Mapa final'!#REF!="Leve"),CONCATENATE("R1C",'Mapa final'!#REF!),"")</f>
        <v>#REF!</v>
      </c>
      <c r="P16" s="33" t="str">
        <f>IF(AND('Mapa final'!$Y$16="Alta",'Mapa final'!$AA$16="Menor"),CONCATENATE("R1C",'Mapa final'!$O$16),"")</f>
        <v/>
      </c>
      <c r="Q16" s="34" t="str">
        <f>IF(AND('Mapa final'!$Y$17="Alta",'Mapa final'!$AA$17="Menor"),CONCATENATE("R1C",'Mapa final'!$O$17),"")</f>
        <v/>
      </c>
      <c r="R16" s="34" t="str">
        <f>IF(AND('Mapa final'!$Y$18="Alta",'Mapa final'!$AA$18="Menor"),CONCATENATE("R1C",'Mapa final'!$O$18),"")</f>
        <v/>
      </c>
      <c r="S16" s="34" t="e">
        <f>IF(AND('Mapa final'!#REF!="Alta",'Mapa final'!#REF!="Menor"),CONCATENATE("R1C",'Mapa final'!#REF!),"")</f>
        <v>#REF!</v>
      </c>
      <c r="T16" s="34" t="e">
        <f>IF(AND('Mapa final'!#REF!="Alta",'Mapa final'!#REF!="Menor"),CONCATENATE("R1C",'Mapa final'!#REF!),"")</f>
        <v>#REF!</v>
      </c>
      <c r="U16" s="35" t="e">
        <f>IF(AND('Mapa final'!#REF!="Alta",'Mapa final'!#REF!="Menor"),CONCATENATE("R1C",'Mapa final'!#REF!),"")</f>
        <v>#REF!</v>
      </c>
      <c r="V16" s="15" t="str">
        <f>IF(AND('Mapa final'!$Y$16="Alta",'Mapa final'!$AA$16="Moderado"),CONCATENATE("R1C",'Mapa final'!$O$16),"")</f>
        <v/>
      </c>
      <c r="W16" s="16" t="str">
        <f>IF(AND('Mapa final'!$Y$17="Alta",'Mapa final'!$AA$17="Moderado"),CONCATENATE("R1C",'Mapa final'!$O$17),"")</f>
        <v/>
      </c>
      <c r="X16" s="16" t="str">
        <f>IF(AND('Mapa final'!$Y$18="Alta",'Mapa final'!$AA$18="Moderado"),CONCATENATE("R1C",'Mapa final'!$O$18),"")</f>
        <v/>
      </c>
      <c r="Y16" s="16" t="e">
        <f>IF(AND('Mapa final'!#REF!="Alta",'Mapa final'!#REF!="Moderado"),CONCATENATE("R1C",'Mapa final'!#REF!),"")</f>
        <v>#REF!</v>
      </c>
      <c r="Z16" s="16" t="e">
        <f>IF(AND('Mapa final'!#REF!="Alta",'Mapa final'!#REF!="Moderado"),CONCATENATE("R1C",'Mapa final'!#REF!),"")</f>
        <v>#REF!</v>
      </c>
      <c r="AA16" s="17" t="e">
        <f>IF(AND('Mapa final'!#REF!="Alta",'Mapa final'!#REF!="Moderado"),CONCATENATE("R1C",'Mapa final'!#REF!),"")</f>
        <v>#REF!</v>
      </c>
      <c r="AB16" s="15" t="str">
        <f>IF(AND('Mapa final'!$Y$16="Alta",'Mapa final'!$AA$16="Mayor"),CONCATENATE("R1C",'Mapa final'!$O$16),"")</f>
        <v/>
      </c>
      <c r="AC16" s="16" t="str">
        <f>IF(AND('Mapa final'!$Y$17="Alta",'Mapa final'!$AA$17="Mayor"),CONCATENATE("R1C",'Mapa final'!$O$17),"")</f>
        <v/>
      </c>
      <c r="AD16" s="16" t="str">
        <f>IF(AND('Mapa final'!$Y$18="Alta",'Mapa final'!$AA$18="Mayor"),CONCATENATE("R1C",'Mapa final'!$O$18),"")</f>
        <v/>
      </c>
      <c r="AE16" s="16" t="e">
        <f>IF(AND('Mapa final'!#REF!="Alta",'Mapa final'!#REF!="Mayor"),CONCATENATE("R1C",'Mapa final'!#REF!),"")</f>
        <v>#REF!</v>
      </c>
      <c r="AF16" s="16" t="e">
        <f>IF(AND('Mapa final'!#REF!="Alta",'Mapa final'!#REF!="Mayor"),CONCATENATE("R1C",'Mapa final'!#REF!),"")</f>
        <v>#REF!</v>
      </c>
      <c r="AG16" s="17" t="e">
        <f>IF(AND('Mapa final'!#REF!="Alta",'Mapa final'!#REF!="Mayor"),CONCATENATE("R1C",'Mapa final'!#REF!),"")</f>
        <v>#REF!</v>
      </c>
      <c r="AH16" s="18" t="str">
        <f>IF(AND('Mapa final'!$Y$16="Alta",'Mapa final'!$AA$16="Catastrófico"),CONCATENATE("R1C",'Mapa final'!$O$16),"")</f>
        <v/>
      </c>
      <c r="AI16" s="19" t="str">
        <f>IF(AND('Mapa final'!$Y$17="Alta",'Mapa final'!$AA$17="Catastrófico"),CONCATENATE("R1C",'Mapa final'!$O$17),"")</f>
        <v/>
      </c>
      <c r="AJ16" s="19" t="str">
        <f>IF(AND('Mapa final'!$Y$18="Alta",'Mapa final'!$AA$18="Catastrófico"),CONCATENATE("R1C",'Mapa final'!$O$18),"")</f>
        <v/>
      </c>
      <c r="AK16" s="19" t="e">
        <f>IF(AND('Mapa final'!#REF!="Alta",'Mapa final'!#REF!="Catastrófico"),CONCATENATE("R1C",'Mapa final'!#REF!),"")</f>
        <v>#REF!</v>
      </c>
      <c r="AL16" s="19" t="e">
        <f>IF(AND('Mapa final'!#REF!="Alta",'Mapa final'!#REF!="Catastrófico"),CONCATENATE("R1C",'Mapa final'!#REF!),"")</f>
        <v>#REF!</v>
      </c>
      <c r="AM16" s="20" t="e">
        <f>IF(AND('Mapa final'!#REF!="Alta",'Mapa final'!#REF!="Catastrófico"),CONCATENATE("R1C",'Mapa final'!#REF!),"")</f>
        <v>#REF!</v>
      </c>
      <c r="AN16" s="1"/>
      <c r="AO16" s="282" t="s">
        <v>98</v>
      </c>
      <c r="AP16" s="270"/>
      <c r="AQ16" s="270"/>
      <c r="AR16" s="270"/>
      <c r="AS16" s="270"/>
      <c r="AT16" s="271"/>
    </row>
    <row r="17" spans="2:46" ht="15" customHeight="1" x14ac:dyDescent="0.35">
      <c r="B17" s="263"/>
      <c r="C17" s="218"/>
      <c r="D17" s="219"/>
      <c r="E17" s="230"/>
      <c r="F17" s="218"/>
      <c r="G17" s="218"/>
      <c r="H17" s="218"/>
      <c r="I17" s="218"/>
      <c r="J17" s="36" t="str">
        <f>IF(AND('Mapa final'!$Y$21="Alta",'Mapa final'!$AA$21="Leve"),CONCATENATE("R2C",'Mapa final'!$O$21),"")</f>
        <v/>
      </c>
      <c r="K17" s="37" t="e">
        <f>IF(AND('Mapa final'!#REF!="Alta",'Mapa final'!#REF!="Leve"),CONCATENATE("R2C",'Mapa final'!#REF!),"")</f>
        <v>#REF!</v>
      </c>
      <c r="L17" s="37" t="e">
        <f>IF(AND('Mapa final'!#REF!="Alta",'Mapa final'!#REF!="Leve"),CONCATENATE("R2C",'Mapa final'!#REF!),"")</f>
        <v>#REF!</v>
      </c>
      <c r="M17" s="37" t="e">
        <f>IF(AND('Mapa final'!#REF!="Alta",'Mapa final'!#REF!="Leve"),CONCATENATE("R2C",'Mapa final'!#REF!),"")</f>
        <v>#REF!</v>
      </c>
      <c r="N17" s="37" t="str">
        <f>IF(AND('Mapa final'!$Y$22="Alta",'Mapa final'!$AA$22="Leve"),CONCATENATE("R2C",'Mapa final'!$O$22),"")</f>
        <v/>
      </c>
      <c r="O17" s="38" t="str">
        <f>IF(AND('Mapa final'!$Y$23="Alta",'Mapa final'!$AA$23="Leve"),CONCATENATE("R2C",'Mapa final'!$O$23),"")</f>
        <v/>
      </c>
      <c r="P17" s="36" t="str">
        <f>IF(AND('Mapa final'!$Y$21="Alta",'Mapa final'!$AA$21="Menor"),CONCATENATE("R2C",'Mapa final'!$O$21),"")</f>
        <v/>
      </c>
      <c r="Q17" s="37" t="e">
        <f>IF(AND('Mapa final'!#REF!="Alta",'Mapa final'!#REF!="Menor"),CONCATENATE("R2C",'Mapa final'!#REF!),"")</f>
        <v>#REF!</v>
      </c>
      <c r="R17" s="37" t="e">
        <f>IF(AND('Mapa final'!#REF!="Alta",'Mapa final'!#REF!="Menor"),CONCATENATE("R2C",'Mapa final'!#REF!),"")</f>
        <v>#REF!</v>
      </c>
      <c r="S17" s="37" t="e">
        <f>IF(AND('Mapa final'!#REF!="Alta",'Mapa final'!#REF!="Menor"),CONCATENATE("R2C",'Mapa final'!#REF!),"")</f>
        <v>#REF!</v>
      </c>
      <c r="T17" s="37" t="str">
        <f>IF(AND('Mapa final'!$Y$22="Alta",'Mapa final'!$AA$22="Menor"),CONCATENATE("R2C",'Mapa final'!$O$22),"")</f>
        <v/>
      </c>
      <c r="U17" s="38" t="str">
        <f>IF(AND('Mapa final'!$Y$23="Alta",'Mapa final'!$AA$23="Menor"),CONCATENATE("R2C",'Mapa final'!$O$23),"")</f>
        <v/>
      </c>
      <c r="V17" s="21" t="str">
        <f>IF(AND('Mapa final'!$Y$21="Alta",'Mapa final'!$AA$21="Moderado"),CONCATENATE("R2C",'Mapa final'!$O$21),"")</f>
        <v/>
      </c>
      <c r="W17" s="22" t="e">
        <f>IF(AND('Mapa final'!#REF!="Alta",'Mapa final'!#REF!="Moderado"),CONCATENATE("R2C",'Mapa final'!#REF!),"")</f>
        <v>#REF!</v>
      </c>
      <c r="X17" s="22" t="e">
        <f>IF(AND('Mapa final'!#REF!="Alta",'Mapa final'!#REF!="Moderado"),CONCATENATE("R2C",'Mapa final'!#REF!),"")</f>
        <v>#REF!</v>
      </c>
      <c r="Y17" s="22" t="e">
        <f>IF(AND('Mapa final'!#REF!="Alta",'Mapa final'!#REF!="Moderado"),CONCATENATE("R2C",'Mapa final'!#REF!),"")</f>
        <v>#REF!</v>
      </c>
      <c r="Z17" s="22" t="str">
        <f>IF(AND('Mapa final'!$Y$22="Alta",'Mapa final'!$AA$22="Moderado"),CONCATENATE("R2C",'Mapa final'!$O$22),"")</f>
        <v/>
      </c>
      <c r="AA17" s="23" t="str">
        <f>IF(AND('Mapa final'!$Y$23="Alta",'Mapa final'!$AA$23="Moderado"),CONCATENATE("R2C",'Mapa final'!$O$23),"")</f>
        <v/>
      </c>
      <c r="AB17" s="21" t="str">
        <f>IF(AND('Mapa final'!$Y$21="Alta",'Mapa final'!$AA$21="Mayor"),CONCATENATE("R2C",'Mapa final'!$O$21),"")</f>
        <v/>
      </c>
      <c r="AC17" s="22" t="e">
        <f>IF(AND('Mapa final'!#REF!="Alta",'Mapa final'!#REF!="Mayor"),CONCATENATE("R2C",'Mapa final'!#REF!),"")</f>
        <v>#REF!</v>
      </c>
      <c r="AD17" s="22" t="e">
        <f>IF(AND('Mapa final'!#REF!="Alta",'Mapa final'!#REF!="Mayor"),CONCATENATE("R2C",'Mapa final'!#REF!),"")</f>
        <v>#REF!</v>
      </c>
      <c r="AE17" s="22" t="e">
        <f>IF(AND('Mapa final'!#REF!="Alta",'Mapa final'!#REF!="Mayor"),CONCATENATE("R2C",'Mapa final'!#REF!),"")</f>
        <v>#REF!</v>
      </c>
      <c r="AF17" s="22" t="str">
        <f>IF(AND('Mapa final'!$Y$22="Alta",'Mapa final'!$AA$22="Mayor"),CONCATENATE("R2C",'Mapa final'!$O$22),"")</f>
        <v/>
      </c>
      <c r="AG17" s="23" t="str">
        <f>IF(AND('Mapa final'!$Y$23="Alta",'Mapa final'!$AA$23="Mayor"),CONCATENATE("R2C",'Mapa final'!$O$23),"")</f>
        <v/>
      </c>
      <c r="AH17" s="24" t="str">
        <f>IF(AND('Mapa final'!$Y$21="Alta",'Mapa final'!$AA$21="Catastrófico"),CONCATENATE("R2C",'Mapa final'!$O$21),"")</f>
        <v/>
      </c>
      <c r="AI17" s="25" t="e">
        <f>IF(AND('Mapa final'!#REF!="Alta",'Mapa final'!#REF!="Catastrófico"),CONCATENATE("R2C",'Mapa final'!#REF!),"")</f>
        <v>#REF!</v>
      </c>
      <c r="AJ17" s="25" t="e">
        <f>IF(AND('Mapa final'!#REF!="Alta",'Mapa final'!#REF!="Catastrófico"),CONCATENATE("R2C",'Mapa final'!#REF!),"")</f>
        <v>#REF!</v>
      </c>
      <c r="AK17" s="25" t="e">
        <f>IF(AND('Mapa final'!#REF!="Alta",'Mapa final'!#REF!="Catastrófico"),CONCATENATE("R2C",'Mapa final'!#REF!),"")</f>
        <v>#REF!</v>
      </c>
      <c r="AL17" s="25" t="str">
        <f>IF(AND('Mapa final'!$Y$22="Alta",'Mapa final'!$AA$22="Catastrófico"),CONCATENATE("R2C",'Mapa final'!$O$22),"")</f>
        <v/>
      </c>
      <c r="AM17" s="26" t="str">
        <f>IF(AND('Mapa final'!$Y$23="Alta",'Mapa final'!$AA$23="Catastrófico"),CONCATENATE("R2C",'Mapa final'!$O$23),"")</f>
        <v/>
      </c>
      <c r="AN17" s="1"/>
      <c r="AO17" s="272"/>
      <c r="AP17" s="218"/>
      <c r="AQ17" s="218"/>
      <c r="AR17" s="218"/>
      <c r="AS17" s="218"/>
      <c r="AT17" s="273"/>
    </row>
    <row r="18" spans="2:46" ht="15" customHeight="1" x14ac:dyDescent="0.35">
      <c r="B18" s="263"/>
      <c r="C18" s="218"/>
      <c r="D18" s="219"/>
      <c r="E18" s="230"/>
      <c r="F18" s="218"/>
      <c r="G18" s="218"/>
      <c r="H18" s="218"/>
      <c r="I18" s="218"/>
      <c r="J18" s="36" t="str">
        <f>IF(AND('Mapa final'!$Y$26="Alta",'Mapa final'!$AA$26="Leve"),CONCATENATE("R3C",'Mapa final'!$O$26),"")</f>
        <v/>
      </c>
      <c r="K18" s="37" t="str">
        <f>IF(AND('Mapa final'!$Y$27="Alta",'Mapa final'!$AA$27="Leve"),CONCATENATE("R3C",'Mapa final'!$O$27),"")</f>
        <v/>
      </c>
      <c r="L18" s="37" t="str">
        <f>IF(AND('Mapa final'!$Y$28="Alta",'Mapa final'!$AA$28="Leve"),CONCATENATE("R3C",'Mapa final'!$O$28),"")</f>
        <v/>
      </c>
      <c r="M18" s="37" t="e">
        <f>IF(AND('Mapa final'!#REF!="Alta",'Mapa final'!#REF!="Leve"),CONCATENATE("R3C",'Mapa final'!#REF!),"")</f>
        <v>#REF!</v>
      </c>
      <c r="N18" s="37" t="e">
        <f>IF(AND('Mapa final'!#REF!="Alta",'Mapa final'!#REF!="Leve"),CONCATENATE("R3C",'Mapa final'!#REF!),"")</f>
        <v>#REF!</v>
      </c>
      <c r="O18" s="38" t="e">
        <f>IF(AND('Mapa final'!#REF!="Alta",'Mapa final'!#REF!="Leve"),CONCATENATE("R3C",'Mapa final'!#REF!),"")</f>
        <v>#REF!</v>
      </c>
      <c r="P18" s="36" t="str">
        <f>IF(AND('Mapa final'!$Y$26="Alta",'Mapa final'!$AA$26="Menor"),CONCATENATE("R3C",'Mapa final'!$O$26),"")</f>
        <v/>
      </c>
      <c r="Q18" s="37" t="str">
        <f>IF(AND('Mapa final'!$Y$27="Alta",'Mapa final'!$AA$27="Menor"),CONCATENATE("R3C",'Mapa final'!$O$27),"")</f>
        <v/>
      </c>
      <c r="R18" s="37" t="str">
        <f>IF(AND('Mapa final'!$Y$28="Alta",'Mapa final'!$AA$28="Menor"),CONCATENATE("R3C",'Mapa final'!$O$28),"")</f>
        <v/>
      </c>
      <c r="S18" s="37" t="e">
        <f>IF(AND('Mapa final'!#REF!="Alta",'Mapa final'!#REF!="Menor"),CONCATENATE("R3C",'Mapa final'!#REF!),"")</f>
        <v>#REF!</v>
      </c>
      <c r="T18" s="37" t="e">
        <f>IF(AND('Mapa final'!#REF!="Alta",'Mapa final'!#REF!="Menor"),CONCATENATE("R3C",'Mapa final'!#REF!),"")</f>
        <v>#REF!</v>
      </c>
      <c r="U18" s="38" t="e">
        <f>IF(AND('Mapa final'!#REF!="Alta",'Mapa final'!#REF!="Menor"),CONCATENATE("R3C",'Mapa final'!#REF!),"")</f>
        <v>#REF!</v>
      </c>
      <c r="V18" s="21" t="str">
        <f>IF(AND('Mapa final'!$Y$26="Alta",'Mapa final'!$AA$26="Moderado"),CONCATENATE("R3C",'Mapa final'!$O$26),"")</f>
        <v/>
      </c>
      <c r="W18" s="22" t="str">
        <f>IF(AND('Mapa final'!$Y$27="Alta",'Mapa final'!$AA$27="Moderado"),CONCATENATE("R3C",'Mapa final'!$O$27),"")</f>
        <v/>
      </c>
      <c r="X18" s="22" t="str">
        <f>IF(AND('Mapa final'!$Y$28="Alta",'Mapa final'!$AA$28="Moderado"),CONCATENATE("R3C",'Mapa final'!$O$28),"")</f>
        <v/>
      </c>
      <c r="Y18" s="22" t="e">
        <f>IF(AND('Mapa final'!#REF!="Alta",'Mapa final'!#REF!="Moderado"),CONCATENATE("R3C",'Mapa final'!#REF!),"")</f>
        <v>#REF!</v>
      </c>
      <c r="Z18" s="22" t="e">
        <f>IF(AND('Mapa final'!#REF!="Alta",'Mapa final'!#REF!="Moderado"),CONCATENATE("R3C",'Mapa final'!#REF!),"")</f>
        <v>#REF!</v>
      </c>
      <c r="AA18" s="23" t="e">
        <f>IF(AND('Mapa final'!#REF!="Alta",'Mapa final'!#REF!="Moderado"),CONCATENATE("R3C",'Mapa final'!#REF!),"")</f>
        <v>#REF!</v>
      </c>
      <c r="AB18" s="21" t="str">
        <f>IF(AND('Mapa final'!$Y$26="Alta",'Mapa final'!$AA$26="Mayor"),CONCATENATE("R3C",'Mapa final'!$O$26),"")</f>
        <v/>
      </c>
      <c r="AC18" s="22" t="str">
        <f>IF(AND('Mapa final'!$Y$27="Alta",'Mapa final'!$AA$27="Mayor"),CONCATENATE("R3C",'Mapa final'!$O$27),"")</f>
        <v/>
      </c>
      <c r="AD18" s="22" t="str">
        <f>IF(AND('Mapa final'!$Y$28="Alta",'Mapa final'!$AA$28="Mayor"),CONCATENATE("R3C",'Mapa final'!$O$28),"")</f>
        <v/>
      </c>
      <c r="AE18" s="22" t="e">
        <f>IF(AND('Mapa final'!#REF!="Alta",'Mapa final'!#REF!="Mayor"),CONCATENATE("R3C",'Mapa final'!#REF!),"")</f>
        <v>#REF!</v>
      </c>
      <c r="AF18" s="22" t="e">
        <f>IF(AND('Mapa final'!#REF!="Alta",'Mapa final'!#REF!="Mayor"),CONCATENATE("R3C",'Mapa final'!#REF!),"")</f>
        <v>#REF!</v>
      </c>
      <c r="AG18" s="23" t="e">
        <f>IF(AND('Mapa final'!#REF!="Alta",'Mapa final'!#REF!="Mayor"),CONCATENATE("R3C",'Mapa final'!#REF!),"")</f>
        <v>#REF!</v>
      </c>
      <c r="AH18" s="24" t="str">
        <f>IF(AND('Mapa final'!$Y$26="Alta",'Mapa final'!$AA$26="Catastrófico"),CONCATENATE("R3C",'Mapa final'!$O$26),"")</f>
        <v/>
      </c>
      <c r="AI18" s="25" t="str">
        <f>IF(AND('Mapa final'!$Y$27="Alta",'Mapa final'!$AA$27="Catastrófico"),CONCATENATE("R3C",'Mapa final'!$O$27),"")</f>
        <v/>
      </c>
      <c r="AJ18" s="25" t="str">
        <f>IF(AND('Mapa final'!$Y$28="Alta",'Mapa final'!$AA$28="Catastrófico"),CONCATENATE("R3C",'Mapa final'!$O$28),"")</f>
        <v/>
      </c>
      <c r="AK18" s="25" t="e">
        <f>IF(AND('Mapa final'!#REF!="Alta",'Mapa final'!#REF!="Catastrófico"),CONCATENATE("R3C",'Mapa final'!#REF!),"")</f>
        <v>#REF!</v>
      </c>
      <c r="AL18" s="25" t="e">
        <f>IF(AND('Mapa final'!#REF!="Alta",'Mapa final'!#REF!="Catastrófico"),CONCATENATE("R3C",'Mapa final'!#REF!),"")</f>
        <v>#REF!</v>
      </c>
      <c r="AM18" s="26" t="e">
        <f>IF(AND('Mapa final'!#REF!="Alta",'Mapa final'!#REF!="Catastrófico"),CONCATENATE("R3C",'Mapa final'!#REF!),"")</f>
        <v>#REF!</v>
      </c>
      <c r="AN18" s="1"/>
      <c r="AO18" s="272"/>
      <c r="AP18" s="218"/>
      <c r="AQ18" s="218"/>
      <c r="AR18" s="218"/>
      <c r="AS18" s="218"/>
      <c r="AT18" s="273"/>
    </row>
    <row r="19" spans="2:46" ht="15" customHeight="1" x14ac:dyDescent="0.35">
      <c r="B19" s="263"/>
      <c r="C19" s="218"/>
      <c r="D19" s="219"/>
      <c r="E19" s="230"/>
      <c r="F19" s="218"/>
      <c r="G19" s="218"/>
      <c r="H19" s="218"/>
      <c r="I19" s="218"/>
      <c r="J19" s="36" t="str">
        <f>IF(AND('Mapa final'!$Y$31="Alta",'Mapa final'!$AA$31="Leve"),CONCATENATE("R4C",'Mapa final'!$O$31),"")</f>
        <v/>
      </c>
      <c r="K19" s="37" t="str">
        <f>IF(AND('Mapa final'!$Y$32="Alta",'Mapa final'!$AA$32="Leve"),CONCATENATE("R4C",'Mapa final'!$O$32),"")</f>
        <v/>
      </c>
      <c r="L19" s="37" t="e">
        <f>IF(AND('Mapa final'!#REF!="Alta",'Mapa final'!#REF!="Leve"),CONCATENATE("R4C",'Mapa final'!#REF!),"")</f>
        <v>#REF!</v>
      </c>
      <c r="M19" s="37" t="str">
        <f>IF(AND('Mapa final'!$Y$33="Alta",'Mapa final'!$AA$33="Leve"),CONCATENATE("R4C",'Mapa final'!$O$33),"")</f>
        <v/>
      </c>
      <c r="N19" s="37" t="e">
        <f>IF(AND('Mapa final'!#REF!="Alta",'Mapa final'!#REF!="Leve"),CONCATENATE("R4C",'Mapa final'!#REF!),"")</f>
        <v>#REF!</v>
      </c>
      <c r="O19" s="38" t="e">
        <f>IF(AND('Mapa final'!#REF!="Alta",'Mapa final'!#REF!="Leve"),CONCATENATE("R4C",'Mapa final'!#REF!),"")</f>
        <v>#REF!</v>
      </c>
      <c r="P19" s="36" t="str">
        <f>IF(AND('Mapa final'!$Y$31="Alta",'Mapa final'!$AA$31="Menor"),CONCATENATE("R4C",'Mapa final'!$O$31),"")</f>
        <v/>
      </c>
      <c r="Q19" s="37" t="str">
        <f>IF(AND('Mapa final'!$Y$32="Alta",'Mapa final'!$AA$32="Menor"),CONCATENATE("R4C",'Mapa final'!$O$32),"")</f>
        <v/>
      </c>
      <c r="R19" s="37" t="e">
        <f>IF(AND('Mapa final'!#REF!="Alta",'Mapa final'!#REF!="Menor"),CONCATENATE("R4C",'Mapa final'!#REF!),"")</f>
        <v>#REF!</v>
      </c>
      <c r="S19" s="37" t="str">
        <f>IF(AND('Mapa final'!$Y$33="Alta",'Mapa final'!$AA$33="Menor"),CONCATENATE("R4C",'Mapa final'!$O$33),"")</f>
        <v/>
      </c>
      <c r="T19" s="37" t="e">
        <f>IF(AND('Mapa final'!#REF!="Alta",'Mapa final'!#REF!="Menor"),CONCATENATE("R4C",'Mapa final'!#REF!),"")</f>
        <v>#REF!</v>
      </c>
      <c r="U19" s="38" t="e">
        <f>IF(AND('Mapa final'!#REF!="Alta",'Mapa final'!#REF!="Menor"),CONCATENATE("R4C",'Mapa final'!#REF!),"")</f>
        <v>#REF!</v>
      </c>
      <c r="V19" s="21" t="str">
        <f>IF(AND('Mapa final'!$Y$31="Alta",'Mapa final'!$AA$31="Moderado"),CONCATENATE("R4C",'Mapa final'!$O$31),"")</f>
        <v/>
      </c>
      <c r="W19" s="22" t="str">
        <f>IF(AND('Mapa final'!$Y$32="Alta",'Mapa final'!$AA$32="Moderado"),CONCATENATE("R4C",'Mapa final'!$O$32),"")</f>
        <v/>
      </c>
      <c r="X19" s="22" t="e">
        <f>IF(AND('Mapa final'!#REF!="Alta",'Mapa final'!#REF!="Moderado"),CONCATENATE("R4C",'Mapa final'!#REF!),"")</f>
        <v>#REF!</v>
      </c>
      <c r="Y19" s="22" t="str">
        <f>IF(AND('Mapa final'!$Y$33="Alta",'Mapa final'!$AA$33="Moderado"),CONCATENATE("R4C",'Mapa final'!$O$33),"")</f>
        <v/>
      </c>
      <c r="Z19" s="22" t="e">
        <f>IF(AND('Mapa final'!#REF!="Alta",'Mapa final'!#REF!="Moderado"),CONCATENATE("R4C",'Mapa final'!#REF!),"")</f>
        <v>#REF!</v>
      </c>
      <c r="AA19" s="23" t="e">
        <f>IF(AND('Mapa final'!#REF!="Alta",'Mapa final'!#REF!="Moderado"),CONCATENATE("R4C",'Mapa final'!#REF!),"")</f>
        <v>#REF!</v>
      </c>
      <c r="AB19" s="21" t="str">
        <f>IF(AND('Mapa final'!$Y$31="Alta",'Mapa final'!$AA$31="Mayor"),CONCATENATE("R4C",'Mapa final'!$O$31),"")</f>
        <v/>
      </c>
      <c r="AC19" s="22" t="str">
        <f>IF(AND('Mapa final'!$Y$32="Alta",'Mapa final'!$AA$32="Mayor"),CONCATENATE("R4C",'Mapa final'!$O$32),"")</f>
        <v/>
      </c>
      <c r="AD19" s="22" t="e">
        <f>IF(AND('Mapa final'!#REF!="Alta",'Mapa final'!#REF!="Mayor"),CONCATENATE("R4C",'Mapa final'!#REF!),"")</f>
        <v>#REF!</v>
      </c>
      <c r="AE19" s="22" t="str">
        <f>IF(AND('Mapa final'!$Y$33="Alta",'Mapa final'!$AA$33="Mayor"),CONCATENATE("R4C",'Mapa final'!$O$33),"")</f>
        <v/>
      </c>
      <c r="AF19" s="22" t="e">
        <f>IF(AND('Mapa final'!#REF!="Alta",'Mapa final'!#REF!="Mayor"),CONCATENATE("R4C",'Mapa final'!#REF!),"")</f>
        <v>#REF!</v>
      </c>
      <c r="AG19" s="23" t="e">
        <f>IF(AND('Mapa final'!#REF!="Alta",'Mapa final'!#REF!="Mayor"),CONCATENATE("R4C",'Mapa final'!#REF!),"")</f>
        <v>#REF!</v>
      </c>
      <c r="AH19" s="24" t="str">
        <f>IF(AND('Mapa final'!$Y$31="Alta",'Mapa final'!$AA$31="Catastrófico"),CONCATENATE("R4C",'Mapa final'!$O$31),"")</f>
        <v/>
      </c>
      <c r="AI19" s="25" t="str">
        <f>IF(AND('Mapa final'!$Y$32="Alta",'Mapa final'!$AA$32="Catastrófico"),CONCATENATE("R4C",'Mapa final'!$O$32),"")</f>
        <v/>
      </c>
      <c r="AJ19" s="25" t="e">
        <f>IF(AND('Mapa final'!#REF!="Alta",'Mapa final'!#REF!="Catastrófico"),CONCATENATE("R4C",'Mapa final'!#REF!),"")</f>
        <v>#REF!</v>
      </c>
      <c r="AK19" s="25" t="str">
        <f>IF(AND('Mapa final'!$Y$33="Alta",'Mapa final'!$AA$33="Catastrófico"),CONCATENATE("R4C",'Mapa final'!$O$33),"")</f>
        <v/>
      </c>
      <c r="AL19" s="25" t="e">
        <f>IF(AND('Mapa final'!#REF!="Alta",'Mapa final'!#REF!="Catastrófico"),CONCATENATE("R4C",'Mapa final'!#REF!),"")</f>
        <v>#REF!</v>
      </c>
      <c r="AM19" s="26" t="e">
        <f>IF(AND('Mapa final'!#REF!="Alta",'Mapa final'!#REF!="Catastrófico"),CONCATENATE("R4C",'Mapa final'!#REF!),"")</f>
        <v>#REF!</v>
      </c>
      <c r="AN19" s="1"/>
      <c r="AO19" s="272"/>
      <c r="AP19" s="218"/>
      <c r="AQ19" s="218"/>
      <c r="AR19" s="218"/>
      <c r="AS19" s="218"/>
      <c r="AT19" s="273"/>
    </row>
    <row r="20" spans="2:46" ht="15" customHeight="1" x14ac:dyDescent="0.35">
      <c r="B20" s="263"/>
      <c r="C20" s="218"/>
      <c r="D20" s="219"/>
      <c r="E20" s="230"/>
      <c r="F20" s="218"/>
      <c r="G20" s="218"/>
      <c r="H20" s="218"/>
      <c r="I20" s="218"/>
      <c r="J20" s="36" t="str">
        <f>IF(AND('Mapa final'!$Y$36="Alta",'Mapa final'!$AA$36="Leve"),CONCATENATE("R5C",'Mapa final'!$O$36),"")</f>
        <v/>
      </c>
      <c r="K20" s="37" t="str">
        <f>IF(AND('Mapa final'!$Y$37="Alta",'Mapa final'!$AA$37="Leve"),CONCATENATE("R5C",'Mapa final'!$O$37),"")</f>
        <v/>
      </c>
      <c r="L20" s="37" t="str">
        <f>IF(AND('Mapa final'!$Y$38="Alta",'Mapa final'!$AA$38="Leve"),CONCATENATE("R5C",'Mapa final'!$O$38),"")</f>
        <v/>
      </c>
      <c r="M20" s="37" t="e">
        <f>IF(AND('Mapa final'!#REF!="Alta",'Mapa final'!#REF!="Leve"),CONCATENATE("R5C",'Mapa final'!#REF!),"")</f>
        <v>#REF!</v>
      </c>
      <c r="N20" s="37" t="e">
        <f>IF(AND('Mapa final'!#REF!="Alta",'Mapa final'!#REF!="Leve"),CONCATENATE("R5C",'Mapa final'!#REF!),"")</f>
        <v>#REF!</v>
      </c>
      <c r="O20" s="38" t="e">
        <f>IF(AND('Mapa final'!#REF!="Alta",'Mapa final'!#REF!="Leve"),CONCATENATE("R5C",'Mapa final'!#REF!),"")</f>
        <v>#REF!</v>
      </c>
      <c r="P20" s="36" t="str">
        <f>IF(AND('Mapa final'!$Y$36="Alta",'Mapa final'!$AA$36="Menor"),CONCATENATE("R5C",'Mapa final'!$O$36),"")</f>
        <v/>
      </c>
      <c r="Q20" s="37" t="str">
        <f>IF(AND('Mapa final'!$Y$37="Alta",'Mapa final'!$AA$37="Menor"),CONCATENATE("R5C",'Mapa final'!$O$37),"")</f>
        <v/>
      </c>
      <c r="R20" s="37" t="str">
        <f>IF(AND('Mapa final'!$Y$38="Alta",'Mapa final'!$AA$38="Menor"),CONCATENATE("R5C",'Mapa final'!$O$38),"")</f>
        <v/>
      </c>
      <c r="S20" s="37" t="e">
        <f>IF(AND('Mapa final'!#REF!="Alta",'Mapa final'!#REF!="Menor"),CONCATENATE("R5C",'Mapa final'!#REF!),"")</f>
        <v>#REF!</v>
      </c>
      <c r="T20" s="37" t="e">
        <f>IF(AND('Mapa final'!#REF!="Alta",'Mapa final'!#REF!="Menor"),CONCATENATE("R5C",'Mapa final'!#REF!),"")</f>
        <v>#REF!</v>
      </c>
      <c r="U20" s="38" t="e">
        <f>IF(AND('Mapa final'!#REF!="Alta",'Mapa final'!#REF!="Menor"),CONCATENATE("R5C",'Mapa final'!#REF!),"")</f>
        <v>#REF!</v>
      </c>
      <c r="V20" s="21" t="str">
        <f>IF(AND('Mapa final'!$Y$36="Alta",'Mapa final'!$AA$36="Moderado"),CONCATENATE("R5C",'Mapa final'!$O$36),"")</f>
        <v/>
      </c>
      <c r="W20" s="22" t="str">
        <f>IF(AND('Mapa final'!$Y$37="Alta",'Mapa final'!$AA$37="Moderado"),CONCATENATE("R5C",'Mapa final'!$O$37),"")</f>
        <v/>
      </c>
      <c r="X20" s="22" t="str">
        <f>IF(AND('Mapa final'!$Y$38="Alta",'Mapa final'!$AA$38="Moderado"),CONCATENATE("R5C",'Mapa final'!$O$38),"")</f>
        <v/>
      </c>
      <c r="Y20" s="22" t="e">
        <f>IF(AND('Mapa final'!#REF!="Alta",'Mapa final'!#REF!="Moderado"),CONCATENATE("R5C",'Mapa final'!#REF!),"")</f>
        <v>#REF!</v>
      </c>
      <c r="Z20" s="22" t="e">
        <f>IF(AND('Mapa final'!#REF!="Alta",'Mapa final'!#REF!="Moderado"),CONCATENATE("R5C",'Mapa final'!#REF!),"")</f>
        <v>#REF!</v>
      </c>
      <c r="AA20" s="23" t="e">
        <f>IF(AND('Mapa final'!#REF!="Alta",'Mapa final'!#REF!="Moderado"),CONCATENATE("R5C",'Mapa final'!#REF!),"")</f>
        <v>#REF!</v>
      </c>
      <c r="AB20" s="21" t="str">
        <f>IF(AND('Mapa final'!$Y$36="Alta",'Mapa final'!$AA$36="Mayor"),CONCATENATE("R5C",'Mapa final'!$O$36),"")</f>
        <v/>
      </c>
      <c r="AC20" s="22" t="str">
        <f>IF(AND('Mapa final'!$Y$37="Alta",'Mapa final'!$AA$37="Mayor"),CONCATENATE("R5C",'Mapa final'!$O$37),"")</f>
        <v/>
      </c>
      <c r="AD20" s="22" t="str">
        <f>IF(AND('Mapa final'!$Y$38="Alta",'Mapa final'!$AA$38="Mayor"),CONCATENATE("R5C",'Mapa final'!$O$38),"")</f>
        <v/>
      </c>
      <c r="AE20" s="22" t="e">
        <f>IF(AND('Mapa final'!#REF!="Alta",'Mapa final'!#REF!="Mayor"),CONCATENATE("R5C",'Mapa final'!#REF!),"")</f>
        <v>#REF!</v>
      </c>
      <c r="AF20" s="22" t="e">
        <f>IF(AND('Mapa final'!#REF!="Alta",'Mapa final'!#REF!="Mayor"),CONCATENATE("R5C",'Mapa final'!#REF!),"")</f>
        <v>#REF!</v>
      </c>
      <c r="AG20" s="23" t="e">
        <f>IF(AND('Mapa final'!#REF!="Alta",'Mapa final'!#REF!="Mayor"),CONCATENATE("R5C",'Mapa final'!#REF!),"")</f>
        <v>#REF!</v>
      </c>
      <c r="AH20" s="24" t="str">
        <f>IF(AND('Mapa final'!$Y$36="Alta",'Mapa final'!$AA$36="Catastrófico"),CONCATENATE("R5C",'Mapa final'!$O$36),"")</f>
        <v/>
      </c>
      <c r="AI20" s="25" t="str">
        <f>IF(AND('Mapa final'!$Y$37="Alta",'Mapa final'!$AA$37="Catastrófico"),CONCATENATE("R5C",'Mapa final'!$O$37),"")</f>
        <v/>
      </c>
      <c r="AJ20" s="25" t="str">
        <f>IF(AND('Mapa final'!$Y$38="Alta",'Mapa final'!$AA$38="Catastrófico"),CONCATENATE("R5C",'Mapa final'!$O$38),"")</f>
        <v/>
      </c>
      <c r="AK20" s="25" t="e">
        <f>IF(AND('Mapa final'!#REF!="Alta",'Mapa final'!#REF!="Catastrófico"),CONCATENATE("R5C",'Mapa final'!#REF!),"")</f>
        <v>#REF!</v>
      </c>
      <c r="AL20" s="25" t="e">
        <f>IF(AND('Mapa final'!#REF!="Alta",'Mapa final'!#REF!="Catastrófico"),CONCATENATE("R5C",'Mapa final'!#REF!),"")</f>
        <v>#REF!</v>
      </c>
      <c r="AM20" s="26" t="e">
        <f>IF(AND('Mapa final'!#REF!="Alta",'Mapa final'!#REF!="Catastrófico"),CONCATENATE("R5C",'Mapa final'!#REF!),"")</f>
        <v>#REF!</v>
      </c>
      <c r="AN20" s="1"/>
      <c r="AO20" s="272"/>
      <c r="AP20" s="218"/>
      <c r="AQ20" s="218"/>
      <c r="AR20" s="218"/>
      <c r="AS20" s="218"/>
      <c r="AT20" s="273"/>
    </row>
    <row r="21" spans="2:46" ht="15" customHeight="1" x14ac:dyDescent="0.35">
      <c r="B21" s="263"/>
      <c r="C21" s="218"/>
      <c r="D21" s="219"/>
      <c r="E21" s="230"/>
      <c r="F21" s="218"/>
      <c r="G21" s="218"/>
      <c r="H21" s="218"/>
      <c r="I21" s="218"/>
      <c r="J21" s="36" t="str">
        <f>IF(AND('Mapa final'!$Y$41="Alta",'Mapa final'!$AA$41="Leve"),CONCATENATE("R6C",'Mapa final'!$O$41),"")</f>
        <v/>
      </c>
      <c r="K21" s="37" t="str">
        <f>IF(AND('Mapa final'!$Y$42="Alta",'Mapa final'!$AA$42="Leve"),CONCATENATE("R6C",'Mapa final'!$O$42),"")</f>
        <v/>
      </c>
      <c r="L21" s="37" t="str">
        <f>IF(AND('Mapa final'!$Y$43="Alta",'Mapa final'!$AA$43="Leve"),CONCATENATE("R6C",'Mapa final'!$O$43),"")</f>
        <v/>
      </c>
      <c r="M21" s="37" t="e">
        <f>IF(AND('Mapa final'!#REF!="Alta",'Mapa final'!#REF!="Leve"),CONCATENATE("R6C",'Mapa final'!#REF!),"")</f>
        <v>#REF!</v>
      </c>
      <c r="N21" s="37" t="e">
        <f>IF(AND('Mapa final'!#REF!="Alta",'Mapa final'!#REF!="Leve"),CONCATENATE("R6C",'Mapa final'!#REF!),"")</f>
        <v>#REF!</v>
      </c>
      <c r="O21" s="38" t="e">
        <f>IF(AND('Mapa final'!#REF!="Alta",'Mapa final'!#REF!="Leve"),CONCATENATE("R6C",'Mapa final'!#REF!),"")</f>
        <v>#REF!</v>
      </c>
      <c r="P21" s="36" t="str">
        <f>IF(AND('Mapa final'!$Y$41="Alta",'Mapa final'!$AA$41="Menor"),CONCATENATE("R6C",'Mapa final'!$O$41),"")</f>
        <v/>
      </c>
      <c r="Q21" s="37" t="str">
        <f>IF(AND('Mapa final'!$Y$42="Alta",'Mapa final'!$AA$42="Menor"),CONCATENATE("R6C",'Mapa final'!$O$42),"")</f>
        <v/>
      </c>
      <c r="R21" s="37" t="str">
        <f>IF(AND('Mapa final'!$Y$43="Alta",'Mapa final'!$AA$43="Menor"),CONCATENATE("R6C",'Mapa final'!$O$43),"")</f>
        <v/>
      </c>
      <c r="S21" s="37" t="e">
        <f>IF(AND('Mapa final'!#REF!="Alta",'Mapa final'!#REF!="Menor"),CONCATENATE("R6C",'Mapa final'!#REF!),"")</f>
        <v>#REF!</v>
      </c>
      <c r="T21" s="37" t="e">
        <f>IF(AND('Mapa final'!#REF!="Alta",'Mapa final'!#REF!="Menor"),CONCATENATE("R6C",'Mapa final'!#REF!),"")</f>
        <v>#REF!</v>
      </c>
      <c r="U21" s="38" t="e">
        <f>IF(AND('Mapa final'!#REF!="Alta",'Mapa final'!#REF!="Menor"),CONCATENATE("R6C",'Mapa final'!#REF!),"")</f>
        <v>#REF!</v>
      </c>
      <c r="V21" s="21" t="str">
        <f>IF(AND('Mapa final'!$Y$41="Alta",'Mapa final'!$AA$41="Moderado"),CONCATENATE("R6C",'Mapa final'!$O$41),"")</f>
        <v/>
      </c>
      <c r="W21" s="22" t="str">
        <f>IF(AND('Mapa final'!$Y$42="Alta",'Mapa final'!$AA$42="Moderado"),CONCATENATE("R6C",'Mapa final'!$O$42),"")</f>
        <v/>
      </c>
      <c r="X21" s="22" t="str">
        <f>IF(AND('Mapa final'!$Y$43="Alta",'Mapa final'!$AA$43="Moderado"),CONCATENATE("R6C",'Mapa final'!$O$43),"")</f>
        <v/>
      </c>
      <c r="Y21" s="22" t="e">
        <f>IF(AND('Mapa final'!#REF!="Alta",'Mapa final'!#REF!="Moderado"),CONCATENATE("R6C",'Mapa final'!#REF!),"")</f>
        <v>#REF!</v>
      </c>
      <c r="Z21" s="22" t="e">
        <f>IF(AND('Mapa final'!#REF!="Alta",'Mapa final'!#REF!="Moderado"),CONCATENATE("R6C",'Mapa final'!#REF!),"")</f>
        <v>#REF!</v>
      </c>
      <c r="AA21" s="23" t="e">
        <f>IF(AND('Mapa final'!#REF!="Alta",'Mapa final'!#REF!="Moderado"),CONCATENATE("R6C",'Mapa final'!#REF!),"")</f>
        <v>#REF!</v>
      </c>
      <c r="AB21" s="21" t="str">
        <f>IF(AND('Mapa final'!$Y$41="Alta",'Mapa final'!$AA$41="Mayor"),CONCATENATE("R6C",'Mapa final'!$O$41),"")</f>
        <v/>
      </c>
      <c r="AC21" s="22" t="str">
        <f>IF(AND('Mapa final'!$Y$42="Alta",'Mapa final'!$AA$42="Mayor"),CONCATENATE("R6C",'Mapa final'!$O$42),"")</f>
        <v/>
      </c>
      <c r="AD21" s="22" t="str">
        <f>IF(AND('Mapa final'!$Y$43="Alta",'Mapa final'!$AA$43="Mayor"),CONCATENATE("R6C",'Mapa final'!$O$43),"")</f>
        <v/>
      </c>
      <c r="AE21" s="22" t="e">
        <f>IF(AND('Mapa final'!#REF!="Alta",'Mapa final'!#REF!="Mayor"),CONCATENATE("R6C",'Mapa final'!#REF!),"")</f>
        <v>#REF!</v>
      </c>
      <c r="AF21" s="22" t="e">
        <f>IF(AND('Mapa final'!#REF!="Alta",'Mapa final'!#REF!="Mayor"),CONCATENATE("R6C",'Mapa final'!#REF!),"")</f>
        <v>#REF!</v>
      </c>
      <c r="AG21" s="23" t="e">
        <f>IF(AND('Mapa final'!#REF!="Alta",'Mapa final'!#REF!="Mayor"),CONCATENATE("R6C",'Mapa final'!#REF!),"")</f>
        <v>#REF!</v>
      </c>
      <c r="AH21" s="24" t="str">
        <f>IF(AND('Mapa final'!$Y$41="Alta",'Mapa final'!$AA$41="Catastrófico"),CONCATENATE("R6C",'Mapa final'!$O$41),"")</f>
        <v/>
      </c>
      <c r="AI21" s="25" t="str">
        <f>IF(AND('Mapa final'!$Y$42="Alta",'Mapa final'!$AA$42="Catastrófico"),CONCATENATE("R6C",'Mapa final'!$O$42),"")</f>
        <v/>
      </c>
      <c r="AJ21" s="25" t="str">
        <f>IF(AND('Mapa final'!$Y$43="Alta",'Mapa final'!$AA$43="Catastrófico"),CONCATENATE("R6C",'Mapa final'!$O$43),"")</f>
        <v/>
      </c>
      <c r="AK21" s="25" t="e">
        <f>IF(AND('Mapa final'!#REF!="Alta",'Mapa final'!#REF!="Catastrófico"),CONCATENATE("R6C",'Mapa final'!#REF!),"")</f>
        <v>#REF!</v>
      </c>
      <c r="AL21" s="25" t="e">
        <f>IF(AND('Mapa final'!#REF!="Alta",'Mapa final'!#REF!="Catastrófico"),CONCATENATE("R6C",'Mapa final'!#REF!),"")</f>
        <v>#REF!</v>
      </c>
      <c r="AM21" s="26" t="e">
        <f>IF(AND('Mapa final'!#REF!="Alta",'Mapa final'!#REF!="Catastrófico"),CONCATENATE("R6C",'Mapa final'!#REF!),"")</f>
        <v>#REF!</v>
      </c>
      <c r="AN21" s="1"/>
      <c r="AO21" s="272"/>
      <c r="AP21" s="218"/>
      <c r="AQ21" s="218"/>
      <c r="AR21" s="218"/>
      <c r="AS21" s="218"/>
      <c r="AT21" s="273"/>
    </row>
    <row r="22" spans="2:46" ht="15" customHeight="1" x14ac:dyDescent="0.35">
      <c r="B22" s="263"/>
      <c r="C22" s="218"/>
      <c r="D22" s="219"/>
      <c r="E22" s="230"/>
      <c r="F22" s="218"/>
      <c r="G22" s="218"/>
      <c r="H22" s="218"/>
      <c r="I22" s="218"/>
      <c r="J22" s="36" t="e">
        <f>IF(AND('Mapa final'!#REF!="Alta",'Mapa final'!#REF!="Leve"),CONCATENATE("R7C",'Mapa final'!#REF!),"")</f>
        <v>#REF!</v>
      </c>
      <c r="K22" s="37" t="e">
        <f>IF(AND('Mapa final'!#REF!="Alta",'Mapa final'!#REF!="Leve"),CONCATENATE("R7C",'Mapa final'!#REF!),"")</f>
        <v>#REF!</v>
      </c>
      <c r="L22" s="37" t="e">
        <f>IF(AND('Mapa final'!#REF!="Alta",'Mapa final'!#REF!="Leve"),CONCATENATE("R7C",'Mapa final'!#REF!),"")</f>
        <v>#REF!</v>
      </c>
      <c r="M22" s="37" t="e">
        <f>IF(AND('Mapa final'!#REF!="Alta",'Mapa final'!#REF!="Leve"),CONCATENATE("R7C",'Mapa final'!#REF!),"")</f>
        <v>#REF!</v>
      </c>
      <c r="N22" s="37" t="e">
        <f>IF(AND('Mapa final'!#REF!="Alta",'Mapa final'!#REF!="Leve"),CONCATENATE("R7C",'Mapa final'!#REF!),"")</f>
        <v>#REF!</v>
      </c>
      <c r="O22" s="38" t="e">
        <f>IF(AND('Mapa final'!#REF!="Alta",'Mapa final'!#REF!="Leve"),CONCATENATE("R7C",'Mapa final'!#REF!),"")</f>
        <v>#REF!</v>
      </c>
      <c r="P22" s="36" t="e">
        <f>IF(AND('Mapa final'!#REF!="Alta",'Mapa final'!#REF!="Menor"),CONCATENATE("R7C",'Mapa final'!#REF!),"")</f>
        <v>#REF!</v>
      </c>
      <c r="Q22" s="37" t="e">
        <f>IF(AND('Mapa final'!#REF!="Alta",'Mapa final'!#REF!="Menor"),CONCATENATE("R7C",'Mapa final'!#REF!),"")</f>
        <v>#REF!</v>
      </c>
      <c r="R22" s="37" t="e">
        <f>IF(AND('Mapa final'!#REF!="Alta",'Mapa final'!#REF!="Menor"),CONCATENATE("R7C",'Mapa final'!#REF!),"")</f>
        <v>#REF!</v>
      </c>
      <c r="S22" s="37" t="e">
        <f>IF(AND('Mapa final'!#REF!="Alta",'Mapa final'!#REF!="Menor"),CONCATENATE("R7C",'Mapa final'!#REF!),"")</f>
        <v>#REF!</v>
      </c>
      <c r="T22" s="37" t="e">
        <f>IF(AND('Mapa final'!#REF!="Alta",'Mapa final'!#REF!="Menor"),CONCATENATE("R7C",'Mapa final'!#REF!),"")</f>
        <v>#REF!</v>
      </c>
      <c r="U22" s="38" t="e">
        <f>IF(AND('Mapa final'!#REF!="Alta",'Mapa final'!#REF!="Menor"),CONCATENATE("R7C",'Mapa final'!#REF!),"")</f>
        <v>#REF!</v>
      </c>
      <c r="V22" s="21" t="e">
        <f>IF(AND('Mapa final'!#REF!="Alta",'Mapa final'!#REF!="Moderado"),CONCATENATE("R7C",'Mapa final'!#REF!),"")</f>
        <v>#REF!</v>
      </c>
      <c r="W22" s="22" t="e">
        <f>IF(AND('Mapa final'!#REF!="Alta",'Mapa final'!#REF!="Moderado"),CONCATENATE("R7C",'Mapa final'!#REF!),"")</f>
        <v>#REF!</v>
      </c>
      <c r="X22" s="22" t="e">
        <f>IF(AND('Mapa final'!#REF!="Alta",'Mapa final'!#REF!="Moderado"),CONCATENATE("R7C",'Mapa final'!#REF!),"")</f>
        <v>#REF!</v>
      </c>
      <c r="Y22" s="22" t="e">
        <f>IF(AND('Mapa final'!#REF!="Alta",'Mapa final'!#REF!="Moderado"),CONCATENATE("R7C",'Mapa final'!#REF!),"")</f>
        <v>#REF!</v>
      </c>
      <c r="Z22" s="22" t="e">
        <f>IF(AND('Mapa final'!#REF!="Alta",'Mapa final'!#REF!="Moderado"),CONCATENATE("R7C",'Mapa final'!#REF!),"")</f>
        <v>#REF!</v>
      </c>
      <c r="AA22" s="23" t="e">
        <f>IF(AND('Mapa final'!#REF!="Alta",'Mapa final'!#REF!="Moderado"),CONCATENATE("R7C",'Mapa final'!#REF!),"")</f>
        <v>#REF!</v>
      </c>
      <c r="AB22" s="21" t="e">
        <f>IF(AND('Mapa final'!#REF!="Alta",'Mapa final'!#REF!="Mayor"),CONCATENATE("R7C",'Mapa final'!#REF!),"")</f>
        <v>#REF!</v>
      </c>
      <c r="AC22" s="22" t="e">
        <f>IF(AND('Mapa final'!#REF!="Alta",'Mapa final'!#REF!="Mayor"),CONCATENATE("R7C",'Mapa final'!#REF!),"")</f>
        <v>#REF!</v>
      </c>
      <c r="AD22" s="22" t="e">
        <f>IF(AND('Mapa final'!#REF!="Alta",'Mapa final'!#REF!="Mayor"),CONCATENATE("R7C",'Mapa final'!#REF!),"")</f>
        <v>#REF!</v>
      </c>
      <c r="AE22" s="22" t="e">
        <f>IF(AND('Mapa final'!#REF!="Alta",'Mapa final'!#REF!="Mayor"),CONCATENATE("R7C",'Mapa final'!#REF!),"")</f>
        <v>#REF!</v>
      </c>
      <c r="AF22" s="22" t="e">
        <f>IF(AND('Mapa final'!#REF!="Alta",'Mapa final'!#REF!="Mayor"),CONCATENATE("R7C",'Mapa final'!#REF!),"")</f>
        <v>#REF!</v>
      </c>
      <c r="AG22" s="23" t="e">
        <f>IF(AND('Mapa final'!#REF!="Alta",'Mapa final'!#REF!="Mayor"),CONCATENATE("R7C",'Mapa final'!#REF!),"")</f>
        <v>#REF!</v>
      </c>
      <c r="AH22" s="24" t="e">
        <f>IF(AND('Mapa final'!#REF!="Alta",'Mapa final'!#REF!="Catastrófico"),CONCATENATE("R7C",'Mapa final'!#REF!),"")</f>
        <v>#REF!</v>
      </c>
      <c r="AI22" s="25" t="e">
        <f>IF(AND('Mapa final'!#REF!="Alta",'Mapa final'!#REF!="Catastrófico"),CONCATENATE("R7C",'Mapa final'!#REF!),"")</f>
        <v>#REF!</v>
      </c>
      <c r="AJ22" s="25" t="e">
        <f>IF(AND('Mapa final'!#REF!="Alta",'Mapa final'!#REF!="Catastrófico"),CONCATENATE("R7C",'Mapa final'!#REF!),"")</f>
        <v>#REF!</v>
      </c>
      <c r="AK22" s="25" t="e">
        <f>IF(AND('Mapa final'!#REF!="Alta",'Mapa final'!#REF!="Catastrófico"),CONCATENATE("R7C",'Mapa final'!#REF!),"")</f>
        <v>#REF!</v>
      </c>
      <c r="AL22" s="25" t="e">
        <f>IF(AND('Mapa final'!#REF!="Alta",'Mapa final'!#REF!="Catastrófico"),CONCATENATE("R7C",'Mapa final'!#REF!),"")</f>
        <v>#REF!</v>
      </c>
      <c r="AM22" s="26" t="e">
        <f>IF(AND('Mapa final'!#REF!="Alta",'Mapa final'!#REF!="Catastrófico"),CONCATENATE("R7C",'Mapa final'!#REF!),"")</f>
        <v>#REF!</v>
      </c>
      <c r="AN22" s="1"/>
      <c r="AO22" s="272"/>
      <c r="AP22" s="218"/>
      <c r="AQ22" s="218"/>
      <c r="AR22" s="218"/>
      <c r="AS22" s="218"/>
      <c r="AT22" s="273"/>
    </row>
    <row r="23" spans="2:46" ht="15" customHeight="1" x14ac:dyDescent="0.35">
      <c r="B23" s="263"/>
      <c r="C23" s="218"/>
      <c r="D23" s="219"/>
      <c r="E23" s="230"/>
      <c r="F23" s="218"/>
      <c r="G23" s="218"/>
      <c r="H23" s="218"/>
      <c r="I23" s="218"/>
      <c r="J23" s="36" t="e">
        <f>IF(AND('Mapa final'!#REF!="Alta",'Mapa final'!#REF!="Leve"),CONCATENATE("R8C",'Mapa final'!#REF!),"")</f>
        <v>#REF!</v>
      </c>
      <c r="K23" s="37" t="e">
        <f>IF(AND('Mapa final'!#REF!="Alta",'Mapa final'!#REF!="Leve"),CONCATENATE("R8C",'Mapa final'!#REF!),"")</f>
        <v>#REF!</v>
      </c>
      <c r="L23" s="37" t="e">
        <f>IF(AND('Mapa final'!#REF!="Alta",'Mapa final'!#REF!="Leve"),CONCATENATE("R8C",'Mapa final'!#REF!),"")</f>
        <v>#REF!</v>
      </c>
      <c r="M23" s="37" t="e">
        <f>IF(AND('Mapa final'!#REF!="Alta",'Mapa final'!#REF!="Leve"),CONCATENATE("R8C",'Mapa final'!#REF!),"")</f>
        <v>#REF!</v>
      </c>
      <c r="N23" s="37" t="e">
        <f>IF(AND('Mapa final'!#REF!="Alta",'Mapa final'!#REF!="Leve"),CONCATENATE("R8C",'Mapa final'!#REF!),"")</f>
        <v>#REF!</v>
      </c>
      <c r="O23" s="38" t="e">
        <f>IF(AND('Mapa final'!#REF!="Alta",'Mapa final'!#REF!="Leve"),CONCATENATE("R8C",'Mapa final'!#REF!),"")</f>
        <v>#REF!</v>
      </c>
      <c r="P23" s="36" t="e">
        <f>IF(AND('Mapa final'!#REF!="Alta",'Mapa final'!#REF!="Menor"),CONCATENATE("R8C",'Mapa final'!#REF!),"")</f>
        <v>#REF!</v>
      </c>
      <c r="Q23" s="37" t="e">
        <f>IF(AND('Mapa final'!#REF!="Alta",'Mapa final'!#REF!="Menor"),CONCATENATE("R8C",'Mapa final'!#REF!),"")</f>
        <v>#REF!</v>
      </c>
      <c r="R23" s="37" t="e">
        <f>IF(AND('Mapa final'!#REF!="Alta",'Mapa final'!#REF!="Menor"),CONCATENATE("R8C",'Mapa final'!#REF!),"")</f>
        <v>#REF!</v>
      </c>
      <c r="S23" s="37" t="e">
        <f>IF(AND('Mapa final'!#REF!="Alta",'Mapa final'!#REF!="Menor"),CONCATENATE("R8C",'Mapa final'!#REF!),"")</f>
        <v>#REF!</v>
      </c>
      <c r="T23" s="37" t="e">
        <f>IF(AND('Mapa final'!#REF!="Alta",'Mapa final'!#REF!="Menor"),CONCATENATE("R8C",'Mapa final'!#REF!),"")</f>
        <v>#REF!</v>
      </c>
      <c r="U23" s="38" t="e">
        <f>IF(AND('Mapa final'!#REF!="Alta",'Mapa final'!#REF!="Menor"),CONCATENATE("R8C",'Mapa final'!#REF!),"")</f>
        <v>#REF!</v>
      </c>
      <c r="V23" s="21" t="e">
        <f>IF(AND('Mapa final'!#REF!="Alta",'Mapa final'!#REF!="Moderado"),CONCATENATE("R8C",'Mapa final'!#REF!),"")</f>
        <v>#REF!</v>
      </c>
      <c r="W23" s="22" t="e">
        <f>IF(AND('Mapa final'!#REF!="Alta",'Mapa final'!#REF!="Moderado"),CONCATENATE("R8C",'Mapa final'!#REF!),"")</f>
        <v>#REF!</v>
      </c>
      <c r="X23" s="22" t="e">
        <f>IF(AND('Mapa final'!#REF!="Alta",'Mapa final'!#REF!="Moderado"),CONCATENATE("R8C",'Mapa final'!#REF!),"")</f>
        <v>#REF!</v>
      </c>
      <c r="Y23" s="22" t="e">
        <f>IF(AND('Mapa final'!#REF!="Alta",'Mapa final'!#REF!="Moderado"),CONCATENATE("R8C",'Mapa final'!#REF!),"")</f>
        <v>#REF!</v>
      </c>
      <c r="Z23" s="22" t="e">
        <f>IF(AND('Mapa final'!#REF!="Alta",'Mapa final'!#REF!="Moderado"),CONCATENATE("R8C",'Mapa final'!#REF!),"")</f>
        <v>#REF!</v>
      </c>
      <c r="AA23" s="23" t="e">
        <f>IF(AND('Mapa final'!#REF!="Alta",'Mapa final'!#REF!="Moderado"),CONCATENATE("R8C",'Mapa final'!#REF!),"")</f>
        <v>#REF!</v>
      </c>
      <c r="AB23" s="21" t="e">
        <f>IF(AND('Mapa final'!#REF!="Alta",'Mapa final'!#REF!="Mayor"),CONCATENATE("R8C",'Mapa final'!#REF!),"")</f>
        <v>#REF!</v>
      </c>
      <c r="AC23" s="22" t="e">
        <f>IF(AND('Mapa final'!#REF!="Alta",'Mapa final'!#REF!="Mayor"),CONCATENATE("R8C",'Mapa final'!#REF!),"")</f>
        <v>#REF!</v>
      </c>
      <c r="AD23" s="22" t="e">
        <f>IF(AND('Mapa final'!#REF!="Alta",'Mapa final'!#REF!="Mayor"),CONCATENATE("R8C",'Mapa final'!#REF!),"")</f>
        <v>#REF!</v>
      </c>
      <c r="AE23" s="22" t="e">
        <f>IF(AND('Mapa final'!#REF!="Alta",'Mapa final'!#REF!="Mayor"),CONCATENATE("R8C",'Mapa final'!#REF!),"")</f>
        <v>#REF!</v>
      </c>
      <c r="AF23" s="22" t="e">
        <f>IF(AND('Mapa final'!#REF!="Alta",'Mapa final'!#REF!="Mayor"),CONCATENATE("R8C",'Mapa final'!#REF!),"")</f>
        <v>#REF!</v>
      </c>
      <c r="AG23" s="23" t="e">
        <f>IF(AND('Mapa final'!#REF!="Alta",'Mapa final'!#REF!="Mayor"),CONCATENATE("R8C",'Mapa final'!#REF!),"")</f>
        <v>#REF!</v>
      </c>
      <c r="AH23" s="24" t="e">
        <f>IF(AND('Mapa final'!#REF!="Alta",'Mapa final'!#REF!="Catastrófico"),CONCATENATE("R8C",'Mapa final'!#REF!),"")</f>
        <v>#REF!</v>
      </c>
      <c r="AI23" s="25" t="e">
        <f>IF(AND('Mapa final'!#REF!="Alta",'Mapa final'!#REF!="Catastrófico"),CONCATENATE("R8C",'Mapa final'!#REF!),"")</f>
        <v>#REF!</v>
      </c>
      <c r="AJ23" s="25" t="e">
        <f>IF(AND('Mapa final'!#REF!="Alta",'Mapa final'!#REF!="Catastrófico"),CONCATENATE("R8C",'Mapa final'!#REF!),"")</f>
        <v>#REF!</v>
      </c>
      <c r="AK23" s="25" t="e">
        <f>IF(AND('Mapa final'!#REF!="Alta",'Mapa final'!#REF!="Catastrófico"),CONCATENATE("R8C",'Mapa final'!#REF!),"")</f>
        <v>#REF!</v>
      </c>
      <c r="AL23" s="25" t="e">
        <f>IF(AND('Mapa final'!#REF!="Alta",'Mapa final'!#REF!="Catastrófico"),CONCATENATE("R8C",'Mapa final'!#REF!),"")</f>
        <v>#REF!</v>
      </c>
      <c r="AM23" s="26" t="e">
        <f>IF(AND('Mapa final'!#REF!="Alta",'Mapa final'!#REF!="Catastrófico"),CONCATENATE("R8C",'Mapa final'!#REF!),"")</f>
        <v>#REF!</v>
      </c>
      <c r="AN23" s="1"/>
      <c r="AO23" s="272"/>
      <c r="AP23" s="218"/>
      <c r="AQ23" s="218"/>
      <c r="AR23" s="218"/>
      <c r="AS23" s="218"/>
      <c r="AT23" s="273"/>
    </row>
    <row r="24" spans="2:46" ht="15" customHeight="1" x14ac:dyDescent="0.35">
      <c r="B24" s="263"/>
      <c r="C24" s="218"/>
      <c r="D24" s="219"/>
      <c r="E24" s="230"/>
      <c r="F24" s="218"/>
      <c r="G24" s="218"/>
      <c r="H24" s="218"/>
      <c r="I24" s="218"/>
      <c r="J24" s="36" t="e">
        <f>IF(AND('Mapa final'!#REF!="Alta",'Mapa final'!#REF!="Leve"),CONCATENATE("R9C",'Mapa final'!#REF!),"")</f>
        <v>#REF!</v>
      </c>
      <c r="K24" s="37" t="e">
        <f>IF(AND('Mapa final'!#REF!="Alta",'Mapa final'!#REF!="Leve"),CONCATENATE("R9C",'Mapa final'!#REF!),"")</f>
        <v>#REF!</v>
      </c>
      <c r="L24" s="37" t="e">
        <f>IF(AND('Mapa final'!#REF!="Alta",'Mapa final'!#REF!="Leve"),CONCATENATE("R9C",'Mapa final'!#REF!),"")</f>
        <v>#REF!</v>
      </c>
      <c r="M24" s="37" t="e">
        <f>IF(AND('Mapa final'!#REF!="Alta",'Mapa final'!#REF!="Leve"),CONCATENATE("R9C",'Mapa final'!#REF!),"")</f>
        <v>#REF!</v>
      </c>
      <c r="N24" s="37" t="e">
        <f>IF(AND('Mapa final'!#REF!="Alta",'Mapa final'!#REF!="Leve"),CONCATENATE("R9C",'Mapa final'!#REF!),"")</f>
        <v>#REF!</v>
      </c>
      <c r="O24" s="38" t="e">
        <f>IF(AND('Mapa final'!#REF!="Alta",'Mapa final'!#REF!="Leve"),CONCATENATE("R9C",'Mapa final'!#REF!),"")</f>
        <v>#REF!</v>
      </c>
      <c r="P24" s="36" t="e">
        <f>IF(AND('Mapa final'!#REF!="Alta",'Mapa final'!#REF!="Menor"),CONCATENATE("R9C",'Mapa final'!#REF!),"")</f>
        <v>#REF!</v>
      </c>
      <c r="Q24" s="37" t="e">
        <f>IF(AND('Mapa final'!#REF!="Alta",'Mapa final'!#REF!="Menor"),CONCATENATE("R9C",'Mapa final'!#REF!),"")</f>
        <v>#REF!</v>
      </c>
      <c r="R24" s="37" t="e">
        <f>IF(AND('Mapa final'!#REF!="Alta",'Mapa final'!#REF!="Menor"),CONCATENATE("R9C",'Mapa final'!#REF!),"")</f>
        <v>#REF!</v>
      </c>
      <c r="S24" s="37" t="e">
        <f>IF(AND('Mapa final'!#REF!="Alta",'Mapa final'!#REF!="Menor"),CONCATENATE("R9C",'Mapa final'!#REF!),"")</f>
        <v>#REF!</v>
      </c>
      <c r="T24" s="37" t="e">
        <f>IF(AND('Mapa final'!#REF!="Alta",'Mapa final'!#REF!="Menor"),CONCATENATE("R9C",'Mapa final'!#REF!),"")</f>
        <v>#REF!</v>
      </c>
      <c r="U24" s="38" t="e">
        <f>IF(AND('Mapa final'!#REF!="Alta",'Mapa final'!#REF!="Menor"),CONCATENATE("R9C",'Mapa final'!#REF!),"")</f>
        <v>#REF!</v>
      </c>
      <c r="V24" s="21" t="e">
        <f>IF(AND('Mapa final'!#REF!="Alta",'Mapa final'!#REF!="Moderado"),CONCATENATE("R9C",'Mapa final'!#REF!),"")</f>
        <v>#REF!</v>
      </c>
      <c r="W24" s="22" t="e">
        <f>IF(AND('Mapa final'!#REF!="Alta",'Mapa final'!#REF!="Moderado"),CONCATENATE("R9C",'Mapa final'!#REF!),"")</f>
        <v>#REF!</v>
      </c>
      <c r="X24" s="22" t="e">
        <f>IF(AND('Mapa final'!#REF!="Alta",'Mapa final'!#REF!="Moderado"),CONCATENATE("R9C",'Mapa final'!#REF!),"")</f>
        <v>#REF!</v>
      </c>
      <c r="Y24" s="22" t="e">
        <f>IF(AND('Mapa final'!#REF!="Alta",'Mapa final'!#REF!="Moderado"),CONCATENATE("R9C",'Mapa final'!#REF!),"")</f>
        <v>#REF!</v>
      </c>
      <c r="Z24" s="22" t="e">
        <f>IF(AND('Mapa final'!#REF!="Alta",'Mapa final'!#REF!="Moderado"),CONCATENATE("R9C",'Mapa final'!#REF!),"")</f>
        <v>#REF!</v>
      </c>
      <c r="AA24" s="23" t="e">
        <f>IF(AND('Mapa final'!#REF!="Alta",'Mapa final'!#REF!="Moderado"),CONCATENATE("R9C",'Mapa final'!#REF!),"")</f>
        <v>#REF!</v>
      </c>
      <c r="AB24" s="21" t="e">
        <f>IF(AND('Mapa final'!#REF!="Alta",'Mapa final'!#REF!="Mayor"),CONCATENATE("R9C",'Mapa final'!#REF!),"")</f>
        <v>#REF!</v>
      </c>
      <c r="AC24" s="22" t="e">
        <f>IF(AND('Mapa final'!#REF!="Alta",'Mapa final'!#REF!="Mayor"),CONCATENATE("R9C",'Mapa final'!#REF!),"")</f>
        <v>#REF!</v>
      </c>
      <c r="AD24" s="22" t="e">
        <f>IF(AND('Mapa final'!#REF!="Alta",'Mapa final'!#REF!="Mayor"),CONCATENATE("R9C",'Mapa final'!#REF!),"")</f>
        <v>#REF!</v>
      </c>
      <c r="AE24" s="22" t="e">
        <f>IF(AND('Mapa final'!#REF!="Alta",'Mapa final'!#REF!="Mayor"),CONCATENATE("R9C",'Mapa final'!#REF!),"")</f>
        <v>#REF!</v>
      </c>
      <c r="AF24" s="22" t="e">
        <f>IF(AND('Mapa final'!#REF!="Alta",'Mapa final'!#REF!="Mayor"),CONCATENATE("R9C",'Mapa final'!#REF!),"")</f>
        <v>#REF!</v>
      </c>
      <c r="AG24" s="23" t="e">
        <f>IF(AND('Mapa final'!#REF!="Alta",'Mapa final'!#REF!="Mayor"),CONCATENATE("R9C",'Mapa final'!#REF!),"")</f>
        <v>#REF!</v>
      </c>
      <c r="AH24" s="24" t="e">
        <f>IF(AND('Mapa final'!#REF!="Alta",'Mapa final'!#REF!="Catastrófico"),CONCATENATE("R9C",'Mapa final'!#REF!),"")</f>
        <v>#REF!</v>
      </c>
      <c r="AI24" s="25" t="e">
        <f>IF(AND('Mapa final'!#REF!="Alta",'Mapa final'!#REF!="Catastrófico"),CONCATENATE("R9C",'Mapa final'!#REF!),"")</f>
        <v>#REF!</v>
      </c>
      <c r="AJ24" s="25" t="e">
        <f>IF(AND('Mapa final'!#REF!="Alta",'Mapa final'!#REF!="Catastrófico"),CONCATENATE("R9C",'Mapa final'!#REF!),"")</f>
        <v>#REF!</v>
      </c>
      <c r="AK24" s="25" t="e">
        <f>IF(AND('Mapa final'!#REF!="Alta",'Mapa final'!#REF!="Catastrófico"),CONCATENATE("R9C",'Mapa final'!#REF!),"")</f>
        <v>#REF!</v>
      </c>
      <c r="AL24" s="25" t="e">
        <f>IF(AND('Mapa final'!#REF!="Alta",'Mapa final'!#REF!="Catastrófico"),CONCATENATE("R9C",'Mapa final'!#REF!),"")</f>
        <v>#REF!</v>
      </c>
      <c r="AM24" s="26" t="e">
        <f>IF(AND('Mapa final'!#REF!="Alta",'Mapa final'!#REF!="Catastrófico"),CONCATENATE("R9C",'Mapa final'!#REF!),"")</f>
        <v>#REF!</v>
      </c>
      <c r="AN24" s="1"/>
      <c r="AO24" s="272"/>
      <c r="AP24" s="218"/>
      <c r="AQ24" s="218"/>
      <c r="AR24" s="218"/>
      <c r="AS24" s="218"/>
      <c r="AT24" s="273"/>
    </row>
    <row r="25" spans="2:46" ht="15.75" customHeight="1" x14ac:dyDescent="0.35">
      <c r="B25" s="263"/>
      <c r="C25" s="218"/>
      <c r="D25" s="219"/>
      <c r="E25" s="253"/>
      <c r="F25" s="254"/>
      <c r="G25" s="254"/>
      <c r="H25" s="254"/>
      <c r="I25" s="254"/>
      <c r="J25" s="39" t="e">
        <f>IF(AND('Mapa final'!#REF!="Alta",'Mapa final'!#REF!="Leve"),CONCATENATE("R10C",'Mapa final'!#REF!),"")</f>
        <v>#REF!</v>
      </c>
      <c r="K25" s="40" t="e">
        <f>IF(AND('Mapa final'!#REF!="Alta",'Mapa final'!#REF!="Leve"),CONCATENATE("R10C",'Mapa final'!#REF!),"")</f>
        <v>#REF!</v>
      </c>
      <c r="L25" s="40" t="e">
        <f>IF(AND('Mapa final'!#REF!="Alta",'Mapa final'!#REF!="Leve"),CONCATENATE("R10C",'Mapa final'!#REF!),"")</f>
        <v>#REF!</v>
      </c>
      <c r="M25" s="40" t="e">
        <f>IF(AND('Mapa final'!#REF!="Alta",'Mapa final'!#REF!="Leve"),CONCATENATE("R10C",'Mapa final'!#REF!),"")</f>
        <v>#REF!</v>
      </c>
      <c r="N25" s="40" t="e">
        <f>IF(AND('Mapa final'!#REF!="Alta",'Mapa final'!#REF!="Leve"),CONCATENATE("R10C",'Mapa final'!#REF!),"")</f>
        <v>#REF!</v>
      </c>
      <c r="O25" s="41" t="e">
        <f>IF(AND('Mapa final'!#REF!="Alta",'Mapa final'!#REF!="Leve"),CONCATENATE("R10C",'Mapa final'!#REF!),"")</f>
        <v>#REF!</v>
      </c>
      <c r="P25" s="39" t="e">
        <f>IF(AND('Mapa final'!#REF!="Alta",'Mapa final'!#REF!="Menor"),CONCATENATE("R10C",'Mapa final'!#REF!),"")</f>
        <v>#REF!</v>
      </c>
      <c r="Q25" s="40" t="e">
        <f>IF(AND('Mapa final'!#REF!="Alta",'Mapa final'!#REF!="Menor"),CONCATENATE("R10C",'Mapa final'!#REF!),"")</f>
        <v>#REF!</v>
      </c>
      <c r="R25" s="40" t="e">
        <f>IF(AND('Mapa final'!#REF!="Alta",'Mapa final'!#REF!="Menor"),CONCATENATE("R10C",'Mapa final'!#REF!),"")</f>
        <v>#REF!</v>
      </c>
      <c r="S25" s="40" t="e">
        <f>IF(AND('Mapa final'!#REF!="Alta",'Mapa final'!#REF!="Menor"),CONCATENATE("R10C",'Mapa final'!#REF!),"")</f>
        <v>#REF!</v>
      </c>
      <c r="T25" s="40" t="e">
        <f>IF(AND('Mapa final'!#REF!="Alta",'Mapa final'!#REF!="Menor"),CONCATENATE("R10C",'Mapa final'!#REF!),"")</f>
        <v>#REF!</v>
      </c>
      <c r="U25" s="41" t="e">
        <f>IF(AND('Mapa final'!#REF!="Alta",'Mapa final'!#REF!="Menor"),CONCATENATE("R10C",'Mapa final'!#REF!),"")</f>
        <v>#REF!</v>
      </c>
      <c r="V25" s="27" t="e">
        <f>IF(AND('Mapa final'!#REF!="Alta",'Mapa final'!#REF!="Moderado"),CONCATENATE("R10C",'Mapa final'!#REF!),"")</f>
        <v>#REF!</v>
      </c>
      <c r="W25" s="28" t="e">
        <f>IF(AND('Mapa final'!#REF!="Alta",'Mapa final'!#REF!="Moderado"),CONCATENATE("R10C",'Mapa final'!#REF!),"")</f>
        <v>#REF!</v>
      </c>
      <c r="X25" s="28" t="e">
        <f>IF(AND('Mapa final'!#REF!="Alta",'Mapa final'!#REF!="Moderado"),CONCATENATE("R10C",'Mapa final'!#REF!),"")</f>
        <v>#REF!</v>
      </c>
      <c r="Y25" s="28" t="e">
        <f>IF(AND('Mapa final'!#REF!="Alta",'Mapa final'!#REF!="Moderado"),CONCATENATE("R10C",'Mapa final'!#REF!),"")</f>
        <v>#REF!</v>
      </c>
      <c r="Z25" s="28" t="e">
        <f>IF(AND('Mapa final'!#REF!="Alta",'Mapa final'!#REF!="Moderado"),CONCATENATE("R10C",'Mapa final'!#REF!),"")</f>
        <v>#REF!</v>
      </c>
      <c r="AA25" s="29" t="e">
        <f>IF(AND('Mapa final'!#REF!="Alta",'Mapa final'!#REF!="Moderado"),CONCATENATE("R10C",'Mapa final'!#REF!),"")</f>
        <v>#REF!</v>
      </c>
      <c r="AB25" s="27" t="e">
        <f>IF(AND('Mapa final'!#REF!="Alta",'Mapa final'!#REF!="Mayor"),CONCATENATE("R10C",'Mapa final'!#REF!),"")</f>
        <v>#REF!</v>
      </c>
      <c r="AC25" s="28" t="e">
        <f>IF(AND('Mapa final'!#REF!="Alta",'Mapa final'!#REF!="Mayor"),CONCATENATE("R10C",'Mapa final'!#REF!),"")</f>
        <v>#REF!</v>
      </c>
      <c r="AD25" s="28" t="e">
        <f>IF(AND('Mapa final'!#REF!="Alta",'Mapa final'!#REF!="Mayor"),CONCATENATE("R10C",'Mapa final'!#REF!),"")</f>
        <v>#REF!</v>
      </c>
      <c r="AE25" s="28" t="e">
        <f>IF(AND('Mapa final'!#REF!="Alta",'Mapa final'!#REF!="Mayor"),CONCATENATE("R10C",'Mapa final'!#REF!),"")</f>
        <v>#REF!</v>
      </c>
      <c r="AF25" s="28" t="e">
        <f>IF(AND('Mapa final'!#REF!="Alta",'Mapa final'!#REF!="Mayor"),CONCATENATE("R10C",'Mapa final'!#REF!),"")</f>
        <v>#REF!</v>
      </c>
      <c r="AG25" s="29" t="e">
        <f>IF(AND('Mapa final'!#REF!="Alta",'Mapa final'!#REF!="Mayor"),CONCATENATE("R10C",'Mapa final'!#REF!),"")</f>
        <v>#REF!</v>
      </c>
      <c r="AH25" s="30" t="e">
        <f>IF(AND('Mapa final'!#REF!="Alta",'Mapa final'!#REF!="Catastrófico"),CONCATENATE("R10C",'Mapa final'!#REF!),"")</f>
        <v>#REF!</v>
      </c>
      <c r="AI25" s="31" t="e">
        <f>IF(AND('Mapa final'!#REF!="Alta",'Mapa final'!#REF!="Catastrófico"),CONCATENATE("R10C",'Mapa final'!#REF!),"")</f>
        <v>#REF!</v>
      </c>
      <c r="AJ25" s="31" t="e">
        <f>IF(AND('Mapa final'!#REF!="Alta",'Mapa final'!#REF!="Catastrófico"),CONCATENATE("R10C",'Mapa final'!#REF!),"")</f>
        <v>#REF!</v>
      </c>
      <c r="AK25" s="31" t="e">
        <f>IF(AND('Mapa final'!#REF!="Alta",'Mapa final'!#REF!="Catastrófico"),CONCATENATE("R10C",'Mapa final'!#REF!),"")</f>
        <v>#REF!</v>
      </c>
      <c r="AL25" s="31" t="e">
        <f>IF(AND('Mapa final'!#REF!="Alta",'Mapa final'!#REF!="Catastrófico"),CONCATENATE("R10C",'Mapa final'!#REF!),"")</f>
        <v>#REF!</v>
      </c>
      <c r="AM25" s="32" t="e">
        <f>IF(AND('Mapa final'!#REF!="Alta",'Mapa final'!#REF!="Catastrófico"),CONCATENATE("R10C",'Mapa final'!#REF!),"")</f>
        <v>#REF!</v>
      </c>
      <c r="AN25" s="1"/>
      <c r="AO25" s="274"/>
      <c r="AP25" s="275"/>
      <c r="AQ25" s="275"/>
      <c r="AR25" s="275"/>
      <c r="AS25" s="275"/>
      <c r="AT25" s="276"/>
    </row>
    <row r="26" spans="2:46" ht="15" customHeight="1" x14ac:dyDescent="0.35">
      <c r="B26" s="263"/>
      <c r="C26" s="218"/>
      <c r="D26" s="219"/>
      <c r="E26" s="281" t="s">
        <v>99</v>
      </c>
      <c r="F26" s="252"/>
      <c r="G26" s="252"/>
      <c r="H26" s="252"/>
      <c r="I26" s="238"/>
      <c r="J26" s="33" t="str">
        <f>IF(AND('Mapa final'!$Y$16="Media",'Mapa final'!$AA$16="Leve"),CONCATENATE("R1C",'Mapa final'!$O$16),"")</f>
        <v/>
      </c>
      <c r="K26" s="34" t="str">
        <f>IF(AND('Mapa final'!$Y$17="Media",'Mapa final'!$AA$17="Leve"),CONCATENATE("R1C",'Mapa final'!$O$17),"")</f>
        <v/>
      </c>
      <c r="L26" s="34" t="str">
        <f>IF(AND('Mapa final'!$Y$18="Media",'Mapa final'!$AA$18="Leve"),CONCATENATE("R1C",'Mapa final'!$O$18),"")</f>
        <v/>
      </c>
      <c r="M26" s="34" t="e">
        <f>IF(AND('Mapa final'!#REF!="Media",'Mapa final'!#REF!="Leve"),CONCATENATE("R1C",'Mapa final'!#REF!),"")</f>
        <v>#REF!</v>
      </c>
      <c r="N26" s="34" t="e">
        <f>IF(AND('Mapa final'!#REF!="Media",'Mapa final'!#REF!="Leve"),CONCATENATE("R1C",'Mapa final'!#REF!),"")</f>
        <v>#REF!</v>
      </c>
      <c r="O26" s="35" t="e">
        <f>IF(AND('Mapa final'!#REF!="Media",'Mapa final'!#REF!="Leve"),CONCATENATE("R1C",'Mapa final'!#REF!),"")</f>
        <v>#REF!</v>
      </c>
      <c r="P26" s="33" t="str">
        <f>IF(AND('Mapa final'!$Y$16="Media",'Mapa final'!$AA$16="Menor"),CONCATENATE("R1C",'Mapa final'!$O$16),"")</f>
        <v/>
      </c>
      <c r="Q26" s="34" t="str">
        <f>IF(AND('Mapa final'!$Y$17="Media",'Mapa final'!$AA$17="Menor"),CONCATENATE("R1C",'Mapa final'!$O$17),"")</f>
        <v/>
      </c>
      <c r="R26" s="34" t="str">
        <f>IF(AND('Mapa final'!$Y$18="Media",'Mapa final'!$AA$18="Menor"),CONCATENATE("R1C",'Mapa final'!$O$18),"")</f>
        <v/>
      </c>
      <c r="S26" s="34" t="e">
        <f>IF(AND('Mapa final'!#REF!="Media",'Mapa final'!#REF!="Menor"),CONCATENATE("R1C",'Mapa final'!#REF!),"")</f>
        <v>#REF!</v>
      </c>
      <c r="T26" s="34" t="e">
        <f>IF(AND('Mapa final'!#REF!="Media",'Mapa final'!#REF!="Menor"),CONCATENATE("R1C",'Mapa final'!#REF!),"")</f>
        <v>#REF!</v>
      </c>
      <c r="U26" s="35" t="e">
        <f>IF(AND('Mapa final'!#REF!="Media",'Mapa final'!#REF!="Menor"),CONCATENATE("R1C",'Mapa final'!#REF!),"")</f>
        <v>#REF!</v>
      </c>
      <c r="V26" s="33" t="str">
        <f>IF(AND('Mapa final'!$Y$16="Media",'Mapa final'!$AA$16="Moderado"),CONCATENATE("R1C",'Mapa final'!$O$16),"")</f>
        <v>R1C1</v>
      </c>
      <c r="W26" s="34" t="str">
        <f>IF(AND('Mapa final'!$Y$17="Media",'Mapa final'!$AA$17="Moderado"),CONCATENATE("R1C",'Mapa final'!$O$17),"")</f>
        <v/>
      </c>
      <c r="X26" s="34" t="str">
        <f>IF(AND('Mapa final'!$Y$18="Media",'Mapa final'!$AA$18="Moderado"),CONCATENATE("R1C",'Mapa final'!$O$18),"")</f>
        <v/>
      </c>
      <c r="Y26" s="34" t="e">
        <f>IF(AND('Mapa final'!#REF!="Media",'Mapa final'!#REF!="Moderado"),CONCATENATE("R1C",'Mapa final'!#REF!),"")</f>
        <v>#REF!</v>
      </c>
      <c r="Z26" s="34" t="e">
        <f>IF(AND('Mapa final'!#REF!="Media",'Mapa final'!#REF!="Moderado"),CONCATENATE("R1C",'Mapa final'!#REF!),"")</f>
        <v>#REF!</v>
      </c>
      <c r="AA26" s="35" t="e">
        <f>IF(AND('Mapa final'!#REF!="Media",'Mapa final'!#REF!="Moderado"),CONCATENATE("R1C",'Mapa final'!#REF!),"")</f>
        <v>#REF!</v>
      </c>
      <c r="AB26" s="15" t="str">
        <f>IF(AND('Mapa final'!$Y$16="Media",'Mapa final'!$AA$16="Mayor"),CONCATENATE("R1C",'Mapa final'!$O$16),"")</f>
        <v/>
      </c>
      <c r="AC26" s="16" t="str">
        <f>IF(AND('Mapa final'!$Y$17="Media",'Mapa final'!$AA$17="Mayor"),CONCATENATE("R1C",'Mapa final'!$O$17),"")</f>
        <v/>
      </c>
      <c r="AD26" s="16" t="str">
        <f>IF(AND('Mapa final'!$Y$18="Media",'Mapa final'!$AA$18="Mayor"),CONCATENATE("R1C",'Mapa final'!$O$18),"")</f>
        <v/>
      </c>
      <c r="AE26" s="16" t="e">
        <f>IF(AND('Mapa final'!#REF!="Media",'Mapa final'!#REF!="Mayor"),CONCATENATE("R1C",'Mapa final'!#REF!),"")</f>
        <v>#REF!</v>
      </c>
      <c r="AF26" s="16" t="e">
        <f>IF(AND('Mapa final'!#REF!="Media",'Mapa final'!#REF!="Mayor"),CONCATENATE("R1C",'Mapa final'!#REF!),"")</f>
        <v>#REF!</v>
      </c>
      <c r="AG26" s="17" t="e">
        <f>IF(AND('Mapa final'!#REF!="Media",'Mapa final'!#REF!="Mayor"),CONCATENATE("R1C",'Mapa final'!#REF!),"")</f>
        <v>#REF!</v>
      </c>
      <c r="AH26" s="18" t="str">
        <f>IF(AND('Mapa final'!$Y$16="Media",'Mapa final'!$AA$16="Catastrófico"),CONCATENATE("R1C",'Mapa final'!$O$16),"")</f>
        <v/>
      </c>
      <c r="AI26" s="19" t="str">
        <f>IF(AND('Mapa final'!$Y$17="Media",'Mapa final'!$AA$17="Catastrófico"),CONCATENATE("R1C",'Mapa final'!$O$17),"")</f>
        <v/>
      </c>
      <c r="AJ26" s="19" t="str">
        <f>IF(AND('Mapa final'!$Y$18="Media",'Mapa final'!$AA$18="Catastrófico"),CONCATENATE("R1C",'Mapa final'!$O$18),"")</f>
        <v/>
      </c>
      <c r="AK26" s="19" t="e">
        <f>IF(AND('Mapa final'!#REF!="Media",'Mapa final'!#REF!="Catastrófico"),CONCATENATE("R1C",'Mapa final'!#REF!),"")</f>
        <v>#REF!</v>
      </c>
      <c r="AL26" s="19" t="e">
        <f>IF(AND('Mapa final'!#REF!="Media",'Mapa final'!#REF!="Catastrófico"),CONCATENATE("R1C",'Mapa final'!#REF!),"")</f>
        <v>#REF!</v>
      </c>
      <c r="AM26" s="20" t="e">
        <f>IF(AND('Mapa final'!#REF!="Media",'Mapa final'!#REF!="Catastrófico"),CONCATENATE("R1C",'Mapa final'!#REF!),"")</f>
        <v>#REF!</v>
      </c>
      <c r="AN26" s="1"/>
      <c r="AO26" s="283" t="s">
        <v>100</v>
      </c>
      <c r="AP26" s="270"/>
      <c r="AQ26" s="270"/>
      <c r="AR26" s="270"/>
      <c r="AS26" s="270"/>
      <c r="AT26" s="271"/>
    </row>
    <row r="27" spans="2:46" ht="15" customHeight="1" x14ac:dyDescent="0.35">
      <c r="B27" s="263"/>
      <c r="C27" s="218"/>
      <c r="D27" s="219"/>
      <c r="E27" s="230"/>
      <c r="F27" s="218"/>
      <c r="G27" s="218"/>
      <c r="H27" s="218"/>
      <c r="I27" s="219"/>
      <c r="J27" s="36" t="str">
        <f>IF(AND('Mapa final'!$Y$21="Media",'Mapa final'!$AA$21="Leve"),CONCATENATE("R2C",'Mapa final'!$O$21),"")</f>
        <v/>
      </c>
      <c r="K27" s="37" t="e">
        <f>IF(AND('Mapa final'!#REF!="Media",'Mapa final'!#REF!="Leve"),CONCATENATE("R2C",'Mapa final'!#REF!),"")</f>
        <v>#REF!</v>
      </c>
      <c r="L27" s="37" t="e">
        <f>IF(AND('Mapa final'!#REF!="Media",'Mapa final'!#REF!="Leve"),CONCATENATE("R2C",'Mapa final'!#REF!),"")</f>
        <v>#REF!</v>
      </c>
      <c r="M27" s="37" t="e">
        <f>IF(AND('Mapa final'!#REF!="Media",'Mapa final'!#REF!="Leve"),CONCATENATE("R2C",'Mapa final'!#REF!),"")</f>
        <v>#REF!</v>
      </c>
      <c r="N27" s="37" t="str">
        <f>IF(AND('Mapa final'!$Y$22="Media",'Mapa final'!$AA$22="Leve"),CONCATENATE("R2C",'Mapa final'!$O$22),"")</f>
        <v/>
      </c>
      <c r="O27" s="38" t="str">
        <f>IF(AND('Mapa final'!$Y$23="Media",'Mapa final'!$AA$23="Leve"),CONCATENATE("R2C",'Mapa final'!$O$23),"")</f>
        <v/>
      </c>
      <c r="P27" s="36" t="str">
        <f>IF(AND('Mapa final'!$Y$21="Media",'Mapa final'!$AA$21="Menor"),CONCATENATE("R2C",'Mapa final'!$O$21),"")</f>
        <v/>
      </c>
      <c r="Q27" s="37" t="e">
        <f>IF(AND('Mapa final'!#REF!="Media",'Mapa final'!#REF!="Menor"),CONCATENATE("R2C",'Mapa final'!#REF!),"")</f>
        <v>#REF!</v>
      </c>
      <c r="R27" s="37" t="e">
        <f>IF(AND('Mapa final'!#REF!="Media",'Mapa final'!#REF!="Menor"),CONCATENATE("R2C",'Mapa final'!#REF!),"")</f>
        <v>#REF!</v>
      </c>
      <c r="S27" s="37" t="e">
        <f>IF(AND('Mapa final'!#REF!="Media",'Mapa final'!#REF!="Menor"),CONCATENATE("R2C",'Mapa final'!#REF!),"")</f>
        <v>#REF!</v>
      </c>
      <c r="T27" s="37" t="str">
        <f>IF(AND('Mapa final'!$Y$22="Media",'Mapa final'!$AA$22="Menor"),CONCATENATE("R2C",'Mapa final'!$O$22),"")</f>
        <v/>
      </c>
      <c r="U27" s="38" t="str">
        <f>IF(AND('Mapa final'!$Y$23="Media",'Mapa final'!$AA$23="Menor"),CONCATENATE("R2C",'Mapa final'!$O$23),"")</f>
        <v/>
      </c>
      <c r="V27" s="36" t="str">
        <f>IF(AND('Mapa final'!$Y$21="Media",'Mapa final'!$AA$21="Moderado"),CONCATENATE("R2C",'Mapa final'!$O$21),"")</f>
        <v/>
      </c>
      <c r="W27" s="37" t="e">
        <f>IF(AND('Mapa final'!#REF!="Media",'Mapa final'!#REF!="Moderado"),CONCATENATE("R2C",'Mapa final'!#REF!),"")</f>
        <v>#REF!</v>
      </c>
      <c r="X27" s="37" t="e">
        <f>IF(AND('Mapa final'!#REF!="Media",'Mapa final'!#REF!="Moderado"),CONCATENATE("R2C",'Mapa final'!#REF!),"")</f>
        <v>#REF!</v>
      </c>
      <c r="Y27" s="37" t="e">
        <f>IF(AND('Mapa final'!#REF!="Media",'Mapa final'!#REF!="Moderado"),CONCATENATE("R2C",'Mapa final'!#REF!),"")</f>
        <v>#REF!</v>
      </c>
      <c r="Z27" s="37" t="str">
        <f>IF(AND('Mapa final'!$Y$22="Media",'Mapa final'!$AA$22="Moderado"),CONCATENATE("R2C",'Mapa final'!$O$22),"")</f>
        <v/>
      </c>
      <c r="AA27" s="38" t="str">
        <f>IF(AND('Mapa final'!$Y$23="Media",'Mapa final'!$AA$23="Moderado"),CONCATENATE("R2C",'Mapa final'!$O$23),"")</f>
        <v/>
      </c>
      <c r="AB27" s="21" t="str">
        <f>IF(AND('Mapa final'!$Y$21="Media",'Mapa final'!$AA$21="Mayor"),CONCATENATE("R2C",'Mapa final'!$O$21),"")</f>
        <v/>
      </c>
      <c r="AC27" s="22" t="e">
        <f>IF(AND('Mapa final'!#REF!="Media",'Mapa final'!#REF!="Mayor"),CONCATENATE("R2C",'Mapa final'!#REF!),"")</f>
        <v>#REF!</v>
      </c>
      <c r="AD27" s="22" t="e">
        <f>IF(AND('Mapa final'!#REF!="Media",'Mapa final'!#REF!="Mayor"),CONCATENATE("R2C",'Mapa final'!#REF!),"")</f>
        <v>#REF!</v>
      </c>
      <c r="AE27" s="22" t="e">
        <f>IF(AND('Mapa final'!#REF!="Media",'Mapa final'!#REF!="Mayor"),CONCATENATE("R2C",'Mapa final'!#REF!),"")</f>
        <v>#REF!</v>
      </c>
      <c r="AF27" s="22" t="str">
        <f>IF(AND('Mapa final'!$Y$22="Media",'Mapa final'!$AA$22="Mayor"),CONCATENATE("R2C",'Mapa final'!$O$22),"")</f>
        <v/>
      </c>
      <c r="AG27" s="23" t="str">
        <f>IF(AND('Mapa final'!$Y$23="Media",'Mapa final'!$AA$23="Mayor"),CONCATENATE("R2C",'Mapa final'!$O$23),"")</f>
        <v/>
      </c>
      <c r="AH27" s="24" t="str">
        <f>IF(AND('Mapa final'!$Y$21="Media",'Mapa final'!$AA$21="Catastrófico"),CONCATENATE("R2C",'Mapa final'!$O$21),"")</f>
        <v/>
      </c>
      <c r="AI27" s="25" t="e">
        <f>IF(AND('Mapa final'!#REF!="Media",'Mapa final'!#REF!="Catastrófico"),CONCATENATE("R2C",'Mapa final'!#REF!),"")</f>
        <v>#REF!</v>
      </c>
      <c r="AJ27" s="25" t="e">
        <f>IF(AND('Mapa final'!#REF!="Media",'Mapa final'!#REF!="Catastrófico"),CONCATENATE("R2C",'Mapa final'!#REF!),"")</f>
        <v>#REF!</v>
      </c>
      <c r="AK27" s="25" t="e">
        <f>IF(AND('Mapa final'!#REF!="Media",'Mapa final'!#REF!="Catastrófico"),CONCATENATE("R2C",'Mapa final'!#REF!),"")</f>
        <v>#REF!</v>
      </c>
      <c r="AL27" s="25" t="str">
        <f>IF(AND('Mapa final'!$Y$22="Media",'Mapa final'!$AA$22="Catastrófico"),CONCATENATE("R2C",'Mapa final'!$O$22),"")</f>
        <v/>
      </c>
      <c r="AM27" s="26" t="str">
        <f>IF(AND('Mapa final'!$Y$23="Media",'Mapa final'!$AA$23="Catastrófico"),CONCATENATE("R2C",'Mapa final'!$O$23),"")</f>
        <v/>
      </c>
      <c r="AN27" s="1"/>
      <c r="AO27" s="272"/>
      <c r="AP27" s="218"/>
      <c r="AQ27" s="218"/>
      <c r="AR27" s="218"/>
      <c r="AS27" s="218"/>
      <c r="AT27" s="273"/>
    </row>
    <row r="28" spans="2:46" ht="15" customHeight="1" x14ac:dyDescent="0.35">
      <c r="B28" s="263"/>
      <c r="C28" s="218"/>
      <c r="D28" s="219"/>
      <c r="E28" s="230"/>
      <c r="F28" s="218"/>
      <c r="G28" s="218"/>
      <c r="H28" s="218"/>
      <c r="I28" s="219"/>
      <c r="J28" s="36" t="str">
        <f>IF(AND('Mapa final'!$Y$26="Media",'Mapa final'!$AA$26="Leve"),CONCATENATE("R3C",'Mapa final'!$O$26),"")</f>
        <v/>
      </c>
      <c r="K28" s="37" t="str">
        <f>IF(AND('Mapa final'!$Y$27="Media",'Mapa final'!$AA$27="Leve"),CONCATENATE("R3C",'Mapa final'!$O$27),"")</f>
        <v/>
      </c>
      <c r="L28" s="37" t="str">
        <f>IF(AND('Mapa final'!$Y$28="Media",'Mapa final'!$AA$28="Leve"),CONCATENATE("R3C",'Mapa final'!$O$28),"")</f>
        <v/>
      </c>
      <c r="M28" s="37" t="e">
        <f>IF(AND('Mapa final'!#REF!="Media",'Mapa final'!#REF!="Leve"),CONCATENATE("R3C",'Mapa final'!#REF!),"")</f>
        <v>#REF!</v>
      </c>
      <c r="N28" s="37" t="e">
        <f>IF(AND('Mapa final'!#REF!="Media",'Mapa final'!#REF!="Leve"),CONCATENATE("R3C",'Mapa final'!#REF!),"")</f>
        <v>#REF!</v>
      </c>
      <c r="O28" s="38" t="e">
        <f>IF(AND('Mapa final'!#REF!="Media",'Mapa final'!#REF!="Leve"),CONCATENATE("R3C",'Mapa final'!#REF!),"")</f>
        <v>#REF!</v>
      </c>
      <c r="P28" s="36" t="str">
        <f>IF(AND('Mapa final'!$Y$26="Media",'Mapa final'!$AA$26="Menor"),CONCATENATE("R3C",'Mapa final'!$O$26),"")</f>
        <v/>
      </c>
      <c r="Q28" s="37" t="str">
        <f>IF(AND('Mapa final'!$Y$27="Media",'Mapa final'!$AA$27="Menor"),CONCATENATE("R3C",'Mapa final'!$O$27),"")</f>
        <v/>
      </c>
      <c r="R28" s="37" t="str">
        <f>IF(AND('Mapa final'!$Y$28="Media",'Mapa final'!$AA$28="Menor"),CONCATENATE("R3C",'Mapa final'!$O$28),"")</f>
        <v/>
      </c>
      <c r="S28" s="37" t="e">
        <f>IF(AND('Mapa final'!#REF!="Media",'Mapa final'!#REF!="Menor"),CONCATENATE("R3C",'Mapa final'!#REF!),"")</f>
        <v>#REF!</v>
      </c>
      <c r="T28" s="37" t="e">
        <f>IF(AND('Mapa final'!#REF!="Media",'Mapa final'!#REF!="Menor"),CONCATENATE("R3C",'Mapa final'!#REF!),"")</f>
        <v>#REF!</v>
      </c>
      <c r="U28" s="38" t="e">
        <f>IF(AND('Mapa final'!#REF!="Media",'Mapa final'!#REF!="Menor"),CONCATENATE("R3C",'Mapa final'!#REF!),"")</f>
        <v>#REF!</v>
      </c>
      <c r="V28" s="36" t="str">
        <f>IF(AND('Mapa final'!$Y$26="Media",'Mapa final'!$AA$26="Moderado"),CONCATENATE("R3C",'Mapa final'!$O$26),"")</f>
        <v/>
      </c>
      <c r="W28" s="37" t="str">
        <f>IF(AND('Mapa final'!$Y$27="Media",'Mapa final'!$AA$27="Moderado"),CONCATENATE("R3C",'Mapa final'!$O$27),"")</f>
        <v/>
      </c>
      <c r="X28" s="37" t="str">
        <f>IF(AND('Mapa final'!$Y$28="Media",'Mapa final'!$AA$28="Moderado"),CONCATENATE("R3C",'Mapa final'!$O$28),"")</f>
        <v/>
      </c>
      <c r="Y28" s="37" t="e">
        <f>IF(AND('Mapa final'!#REF!="Media",'Mapa final'!#REF!="Moderado"),CONCATENATE("R3C",'Mapa final'!#REF!),"")</f>
        <v>#REF!</v>
      </c>
      <c r="Z28" s="37" t="e">
        <f>IF(AND('Mapa final'!#REF!="Media",'Mapa final'!#REF!="Moderado"),CONCATENATE("R3C",'Mapa final'!#REF!),"")</f>
        <v>#REF!</v>
      </c>
      <c r="AA28" s="38" t="e">
        <f>IF(AND('Mapa final'!#REF!="Media",'Mapa final'!#REF!="Moderado"),CONCATENATE("R3C",'Mapa final'!#REF!),"")</f>
        <v>#REF!</v>
      </c>
      <c r="AB28" s="21" t="str">
        <f>IF(AND('Mapa final'!$Y$26="Media",'Mapa final'!$AA$26="Mayor"),CONCATENATE("R3C",'Mapa final'!$O$26),"")</f>
        <v/>
      </c>
      <c r="AC28" s="22" t="str">
        <f>IF(AND('Mapa final'!$Y$27="Media",'Mapa final'!$AA$27="Mayor"),CONCATENATE("R3C",'Mapa final'!$O$27),"")</f>
        <v/>
      </c>
      <c r="AD28" s="22" t="str">
        <f>IF(AND('Mapa final'!$Y$28="Media",'Mapa final'!$AA$28="Mayor"),CONCATENATE("R3C",'Mapa final'!$O$28),"")</f>
        <v/>
      </c>
      <c r="AE28" s="22" t="e">
        <f>IF(AND('Mapa final'!#REF!="Media",'Mapa final'!#REF!="Mayor"),CONCATENATE("R3C",'Mapa final'!#REF!),"")</f>
        <v>#REF!</v>
      </c>
      <c r="AF28" s="22" t="e">
        <f>IF(AND('Mapa final'!#REF!="Media",'Mapa final'!#REF!="Mayor"),CONCATENATE("R3C",'Mapa final'!#REF!),"")</f>
        <v>#REF!</v>
      </c>
      <c r="AG28" s="23" t="e">
        <f>IF(AND('Mapa final'!#REF!="Media",'Mapa final'!#REF!="Mayor"),CONCATENATE("R3C",'Mapa final'!#REF!),"")</f>
        <v>#REF!</v>
      </c>
      <c r="AH28" s="24" t="str">
        <f>IF(AND('Mapa final'!$Y$26="Media",'Mapa final'!$AA$26="Catastrófico"),CONCATENATE("R3C",'Mapa final'!$O$26),"")</f>
        <v/>
      </c>
      <c r="AI28" s="25" t="str">
        <f>IF(AND('Mapa final'!$Y$27="Media",'Mapa final'!$AA$27="Catastrófico"),CONCATENATE("R3C",'Mapa final'!$O$27),"")</f>
        <v/>
      </c>
      <c r="AJ28" s="25" t="str">
        <f>IF(AND('Mapa final'!$Y$28="Media",'Mapa final'!$AA$28="Catastrófico"),CONCATENATE("R3C",'Mapa final'!$O$28),"")</f>
        <v/>
      </c>
      <c r="AK28" s="25" t="e">
        <f>IF(AND('Mapa final'!#REF!="Media",'Mapa final'!#REF!="Catastrófico"),CONCATENATE("R3C",'Mapa final'!#REF!),"")</f>
        <v>#REF!</v>
      </c>
      <c r="AL28" s="25" t="e">
        <f>IF(AND('Mapa final'!#REF!="Media",'Mapa final'!#REF!="Catastrófico"),CONCATENATE("R3C",'Mapa final'!#REF!),"")</f>
        <v>#REF!</v>
      </c>
      <c r="AM28" s="26" t="e">
        <f>IF(AND('Mapa final'!#REF!="Media",'Mapa final'!#REF!="Catastrófico"),CONCATENATE("R3C",'Mapa final'!#REF!),"")</f>
        <v>#REF!</v>
      </c>
      <c r="AN28" s="1"/>
      <c r="AO28" s="272"/>
      <c r="AP28" s="218"/>
      <c r="AQ28" s="218"/>
      <c r="AR28" s="218"/>
      <c r="AS28" s="218"/>
      <c r="AT28" s="273"/>
    </row>
    <row r="29" spans="2:46" ht="15" customHeight="1" x14ac:dyDescent="0.35">
      <c r="B29" s="263"/>
      <c r="C29" s="218"/>
      <c r="D29" s="219"/>
      <c r="E29" s="230"/>
      <c r="F29" s="218"/>
      <c r="G29" s="218"/>
      <c r="H29" s="218"/>
      <c r="I29" s="219"/>
      <c r="J29" s="36" t="str">
        <f>IF(AND('Mapa final'!$Y$31="Media",'Mapa final'!$AA$31="Leve"),CONCATENATE("R4C",'Mapa final'!$O$31),"")</f>
        <v/>
      </c>
      <c r="K29" s="37" t="str">
        <f>IF(AND('Mapa final'!$Y$32="Media",'Mapa final'!$AA$32="Leve"),CONCATENATE("R4C",'Mapa final'!$O$32),"")</f>
        <v/>
      </c>
      <c r="L29" s="37" t="e">
        <f>IF(AND('Mapa final'!#REF!="Media",'Mapa final'!#REF!="Leve"),CONCATENATE("R4C",'Mapa final'!#REF!),"")</f>
        <v>#REF!</v>
      </c>
      <c r="M29" s="37" t="str">
        <f>IF(AND('Mapa final'!$Y$33="Media",'Mapa final'!$AA$33="Leve"),CONCATENATE("R4C",'Mapa final'!$O$33),"")</f>
        <v/>
      </c>
      <c r="N29" s="37" t="e">
        <f>IF(AND('Mapa final'!#REF!="Media",'Mapa final'!#REF!="Leve"),CONCATENATE("R4C",'Mapa final'!#REF!),"")</f>
        <v>#REF!</v>
      </c>
      <c r="O29" s="38" t="e">
        <f>IF(AND('Mapa final'!#REF!="Media",'Mapa final'!#REF!="Leve"),CONCATENATE("R4C",'Mapa final'!#REF!),"")</f>
        <v>#REF!</v>
      </c>
      <c r="P29" s="36" t="str">
        <f>IF(AND('Mapa final'!$Y$31="Media",'Mapa final'!$AA$31="Menor"),CONCATENATE("R4C",'Mapa final'!$O$31),"")</f>
        <v/>
      </c>
      <c r="Q29" s="37" t="str">
        <f>IF(AND('Mapa final'!$Y$32="Media",'Mapa final'!$AA$32="Menor"),CONCATENATE("R4C",'Mapa final'!$O$32),"")</f>
        <v/>
      </c>
      <c r="R29" s="37" t="e">
        <f>IF(AND('Mapa final'!#REF!="Media",'Mapa final'!#REF!="Menor"),CONCATENATE("R4C",'Mapa final'!#REF!),"")</f>
        <v>#REF!</v>
      </c>
      <c r="S29" s="37" t="str">
        <f>IF(AND('Mapa final'!$Y$33="Media",'Mapa final'!$AA$33="Menor"),CONCATENATE("R4C",'Mapa final'!$O$33),"")</f>
        <v/>
      </c>
      <c r="T29" s="37" t="e">
        <f>IF(AND('Mapa final'!#REF!="Media",'Mapa final'!#REF!="Menor"),CONCATENATE("R4C",'Mapa final'!#REF!),"")</f>
        <v>#REF!</v>
      </c>
      <c r="U29" s="38" t="e">
        <f>IF(AND('Mapa final'!#REF!="Media",'Mapa final'!#REF!="Menor"),CONCATENATE("R4C",'Mapa final'!#REF!),"")</f>
        <v>#REF!</v>
      </c>
      <c r="V29" s="36" t="str">
        <f>IF(AND('Mapa final'!$Y$31="Media",'Mapa final'!$AA$31="Moderado"),CONCATENATE("R4C",'Mapa final'!$O$31),"")</f>
        <v/>
      </c>
      <c r="W29" s="37" t="str">
        <f>IF(AND('Mapa final'!$Y$32="Media",'Mapa final'!$AA$32="Moderado"),CONCATENATE("R4C",'Mapa final'!$O$32),"")</f>
        <v/>
      </c>
      <c r="X29" s="37" t="e">
        <f>IF(AND('Mapa final'!#REF!="Media",'Mapa final'!#REF!="Moderado"),CONCATENATE("R4C",'Mapa final'!#REF!),"")</f>
        <v>#REF!</v>
      </c>
      <c r="Y29" s="37" t="str">
        <f>IF(AND('Mapa final'!$Y$33="Media",'Mapa final'!$AA$33="Moderado"),CONCATENATE("R4C",'Mapa final'!$O$33),"")</f>
        <v/>
      </c>
      <c r="Z29" s="37" t="e">
        <f>IF(AND('Mapa final'!#REF!="Media",'Mapa final'!#REF!="Moderado"),CONCATENATE("R4C",'Mapa final'!#REF!),"")</f>
        <v>#REF!</v>
      </c>
      <c r="AA29" s="38" t="e">
        <f>IF(AND('Mapa final'!#REF!="Media",'Mapa final'!#REF!="Moderado"),CONCATENATE("R4C",'Mapa final'!#REF!),"")</f>
        <v>#REF!</v>
      </c>
      <c r="AB29" s="21" t="str">
        <f>IF(AND('Mapa final'!$Y$31="Media",'Mapa final'!$AA$31="Mayor"),CONCATENATE("R4C",'Mapa final'!$O$31),"")</f>
        <v/>
      </c>
      <c r="AC29" s="22" t="str">
        <f>IF(AND('Mapa final'!$Y$32="Media",'Mapa final'!$AA$32="Mayor"),CONCATENATE("R4C",'Mapa final'!$O$32),"")</f>
        <v/>
      </c>
      <c r="AD29" s="22" t="e">
        <f>IF(AND('Mapa final'!#REF!="Media",'Mapa final'!#REF!="Mayor"),CONCATENATE("R4C",'Mapa final'!#REF!),"")</f>
        <v>#REF!</v>
      </c>
      <c r="AE29" s="22" t="str">
        <f>IF(AND('Mapa final'!$Y$33="Media",'Mapa final'!$AA$33="Mayor"),CONCATENATE("R4C",'Mapa final'!$O$33),"")</f>
        <v/>
      </c>
      <c r="AF29" s="22" t="e">
        <f>IF(AND('Mapa final'!#REF!="Media",'Mapa final'!#REF!="Mayor"),CONCATENATE("R4C",'Mapa final'!#REF!),"")</f>
        <v>#REF!</v>
      </c>
      <c r="AG29" s="23" t="e">
        <f>IF(AND('Mapa final'!#REF!="Media",'Mapa final'!#REF!="Mayor"),CONCATENATE("R4C",'Mapa final'!#REF!),"")</f>
        <v>#REF!</v>
      </c>
      <c r="AH29" s="24" t="str">
        <f>IF(AND('Mapa final'!$Y$31="Media",'Mapa final'!$AA$31="Catastrófico"),CONCATENATE("R4C",'Mapa final'!$O$31),"")</f>
        <v/>
      </c>
      <c r="AI29" s="25" t="str">
        <f>IF(AND('Mapa final'!$Y$32="Media",'Mapa final'!$AA$32="Catastrófico"),CONCATENATE("R4C",'Mapa final'!$O$32),"")</f>
        <v/>
      </c>
      <c r="AJ29" s="25" t="e">
        <f>IF(AND('Mapa final'!#REF!="Media",'Mapa final'!#REF!="Catastrófico"),CONCATENATE("R4C",'Mapa final'!#REF!),"")</f>
        <v>#REF!</v>
      </c>
      <c r="AK29" s="25" t="str">
        <f>IF(AND('Mapa final'!$Y$33="Media",'Mapa final'!$AA$33="Catastrófico"),CONCATENATE("R4C",'Mapa final'!$O$33),"")</f>
        <v/>
      </c>
      <c r="AL29" s="25" t="e">
        <f>IF(AND('Mapa final'!#REF!="Media",'Mapa final'!#REF!="Catastrófico"),CONCATENATE("R4C",'Mapa final'!#REF!),"")</f>
        <v>#REF!</v>
      </c>
      <c r="AM29" s="26" t="e">
        <f>IF(AND('Mapa final'!#REF!="Media",'Mapa final'!#REF!="Catastrófico"),CONCATENATE("R4C",'Mapa final'!#REF!),"")</f>
        <v>#REF!</v>
      </c>
      <c r="AN29" s="1"/>
      <c r="AO29" s="272"/>
      <c r="AP29" s="218"/>
      <c r="AQ29" s="218"/>
      <c r="AR29" s="218"/>
      <c r="AS29" s="218"/>
      <c r="AT29" s="273"/>
    </row>
    <row r="30" spans="2:46" ht="15" customHeight="1" x14ac:dyDescent="0.35">
      <c r="B30" s="263"/>
      <c r="C30" s="218"/>
      <c r="D30" s="219"/>
      <c r="E30" s="230"/>
      <c r="F30" s="218"/>
      <c r="G30" s="218"/>
      <c r="H30" s="218"/>
      <c r="I30" s="219"/>
      <c r="J30" s="36" t="str">
        <f>IF(AND('Mapa final'!$Y$36="Media",'Mapa final'!$AA$36="Leve"),CONCATENATE("R5C",'Mapa final'!$O$36),"")</f>
        <v/>
      </c>
      <c r="K30" s="37" t="str">
        <f>IF(AND('Mapa final'!$Y$37="Media",'Mapa final'!$AA$37="Leve"),CONCATENATE("R5C",'Mapa final'!$O$37),"")</f>
        <v/>
      </c>
      <c r="L30" s="37" t="str">
        <f>IF(AND('Mapa final'!$Y$38="Media",'Mapa final'!$AA$38="Leve"),CONCATENATE("R5C",'Mapa final'!$O$38),"")</f>
        <v/>
      </c>
      <c r="M30" s="37" t="e">
        <f>IF(AND('Mapa final'!#REF!="Media",'Mapa final'!#REF!="Leve"),CONCATENATE("R5C",'Mapa final'!#REF!),"")</f>
        <v>#REF!</v>
      </c>
      <c r="N30" s="37" t="e">
        <f>IF(AND('Mapa final'!#REF!="Media",'Mapa final'!#REF!="Leve"),CONCATENATE("R5C",'Mapa final'!#REF!),"")</f>
        <v>#REF!</v>
      </c>
      <c r="O30" s="38" t="e">
        <f>IF(AND('Mapa final'!#REF!="Media",'Mapa final'!#REF!="Leve"),CONCATENATE("R5C",'Mapa final'!#REF!),"")</f>
        <v>#REF!</v>
      </c>
      <c r="P30" s="36" t="str">
        <f>IF(AND('Mapa final'!$Y$36="Media",'Mapa final'!$AA$36="Menor"),CONCATENATE("R5C",'Mapa final'!$O$36),"")</f>
        <v/>
      </c>
      <c r="Q30" s="37" t="str">
        <f>IF(AND('Mapa final'!$Y$37="Media",'Mapa final'!$AA$37="Menor"),CONCATENATE("R5C",'Mapa final'!$O$37),"")</f>
        <v/>
      </c>
      <c r="R30" s="37" t="str">
        <f>IF(AND('Mapa final'!$Y$38="Media",'Mapa final'!$AA$38="Menor"),CONCATENATE("R5C",'Mapa final'!$O$38),"")</f>
        <v/>
      </c>
      <c r="S30" s="37" t="e">
        <f>IF(AND('Mapa final'!#REF!="Media",'Mapa final'!#REF!="Menor"),CONCATENATE("R5C",'Mapa final'!#REF!),"")</f>
        <v>#REF!</v>
      </c>
      <c r="T30" s="37" t="e">
        <f>IF(AND('Mapa final'!#REF!="Media",'Mapa final'!#REF!="Menor"),CONCATENATE("R5C",'Mapa final'!#REF!),"")</f>
        <v>#REF!</v>
      </c>
      <c r="U30" s="38" t="e">
        <f>IF(AND('Mapa final'!#REF!="Media",'Mapa final'!#REF!="Menor"),CONCATENATE("R5C",'Mapa final'!#REF!),"")</f>
        <v>#REF!</v>
      </c>
      <c r="V30" s="36" t="str">
        <f>IF(AND('Mapa final'!$Y$36="Media",'Mapa final'!$AA$36="Moderado"),CONCATENATE("R5C",'Mapa final'!$O$36),"")</f>
        <v/>
      </c>
      <c r="W30" s="37" t="str">
        <f>IF(AND('Mapa final'!$Y$37="Media",'Mapa final'!$AA$37="Moderado"),CONCATENATE("R5C",'Mapa final'!$O$37),"")</f>
        <v/>
      </c>
      <c r="X30" s="37" t="str">
        <f>IF(AND('Mapa final'!$Y$38="Media",'Mapa final'!$AA$38="Moderado"),CONCATENATE("R5C",'Mapa final'!$O$38),"")</f>
        <v/>
      </c>
      <c r="Y30" s="37" t="e">
        <f>IF(AND('Mapa final'!#REF!="Media",'Mapa final'!#REF!="Moderado"),CONCATENATE("R5C",'Mapa final'!#REF!),"")</f>
        <v>#REF!</v>
      </c>
      <c r="Z30" s="37" t="e">
        <f>IF(AND('Mapa final'!#REF!="Media",'Mapa final'!#REF!="Moderado"),CONCATENATE("R5C",'Mapa final'!#REF!),"")</f>
        <v>#REF!</v>
      </c>
      <c r="AA30" s="38" t="e">
        <f>IF(AND('Mapa final'!#REF!="Media",'Mapa final'!#REF!="Moderado"),CONCATENATE("R5C",'Mapa final'!#REF!),"")</f>
        <v>#REF!</v>
      </c>
      <c r="AB30" s="21" t="str">
        <f>IF(AND('Mapa final'!$Y$36="Media",'Mapa final'!$AA$36="Mayor"),CONCATENATE("R5C",'Mapa final'!$O$36),"")</f>
        <v/>
      </c>
      <c r="AC30" s="22" t="str">
        <f>IF(AND('Mapa final'!$Y$37="Media",'Mapa final'!$AA$37="Mayor"),CONCATENATE("R5C",'Mapa final'!$O$37),"")</f>
        <v/>
      </c>
      <c r="AD30" s="22" t="str">
        <f>IF(AND('Mapa final'!$Y$38="Media",'Mapa final'!$AA$38="Mayor"),CONCATENATE("R5C",'Mapa final'!$O$38),"")</f>
        <v/>
      </c>
      <c r="AE30" s="22" t="e">
        <f>IF(AND('Mapa final'!#REF!="Media",'Mapa final'!#REF!="Mayor"),CONCATENATE("R5C",'Mapa final'!#REF!),"")</f>
        <v>#REF!</v>
      </c>
      <c r="AF30" s="22" t="e">
        <f>IF(AND('Mapa final'!#REF!="Media",'Mapa final'!#REF!="Mayor"),CONCATENATE("R5C",'Mapa final'!#REF!),"")</f>
        <v>#REF!</v>
      </c>
      <c r="AG30" s="23" t="e">
        <f>IF(AND('Mapa final'!#REF!="Media",'Mapa final'!#REF!="Mayor"),CONCATENATE("R5C",'Mapa final'!#REF!),"")</f>
        <v>#REF!</v>
      </c>
      <c r="AH30" s="24" t="str">
        <f>IF(AND('Mapa final'!$Y$36="Media",'Mapa final'!$AA$36="Catastrófico"),CONCATENATE("R5C",'Mapa final'!$O$36),"")</f>
        <v/>
      </c>
      <c r="AI30" s="25" t="str">
        <f>IF(AND('Mapa final'!$Y$37="Media",'Mapa final'!$AA$37="Catastrófico"),CONCATENATE("R5C",'Mapa final'!$O$37),"")</f>
        <v/>
      </c>
      <c r="AJ30" s="25" t="str">
        <f>IF(AND('Mapa final'!$Y$38="Media",'Mapa final'!$AA$38="Catastrófico"),CONCATENATE("R5C",'Mapa final'!$O$38),"")</f>
        <v/>
      </c>
      <c r="AK30" s="25" t="e">
        <f>IF(AND('Mapa final'!#REF!="Media",'Mapa final'!#REF!="Catastrófico"),CONCATENATE("R5C",'Mapa final'!#REF!),"")</f>
        <v>#REF!</v>
      </c>
      <c r="AL30" s="25" t="e">
        <f>IF(AND('Mapa final'!#REF!="Media",'Mapa final'!#REF!="Catastrófico"),CONCATENATE("R5C",'Mapa final'!#REF!),"")</f>
        <v>#REF!</v>
      </c>
      <c r="AM30" s="26" t="e">
        <f>IF(AND('Mapa final'!#REF!="Media",'Mapa final'!#REF!="Catastrófico"),CONCATENATE("R5C",'Mapa final'!#REF!),"")</f>
        <v>#REF!</v>
      </c>
      <c r="AN30" s="1"/>
      <c r="AO30" s="272"/>
      <c r="AP30" s="218"/>
      <c r="AQ30" s="218"/>
      <c r="AR30" s="218"/>
      <c r="AS30" s="218"/>
      <c r="AT30" s="273"/>
    </row>
    <row r="31" spans="2:46" ht="15" customHeight="1" x14ac:dyDescent="0.35">
      <c r="B31" s="263"/>
      <c r="C31" s="218"/>
      <c r="D31" s="219"/>
      <c r="E31" s="230"/>
      <c r="F31" s="218"/>
      <c r="G31" s="218"/>
      <c r="H31" s="218"/>
      <c r="I31" s="219"/>
      <c r="J31" s="36" t="str">
        <f>IF(AND('Mapa final'!$Y$41="Media",'Mapa final'!$AA$41="Leve"),CONCATENATE("R6C",'Mapa final'!$O$41),"")</f>
        <v/>
      </c>
      <c r="K31" s="37" t="str">
        <f>IF(AND('Mapa final'!$Y$42="Media",'Mapa final'!$AA$42="Leve"),CONCATENATE("R6C",'Mapa final'!$O$42),"")</f>
        <v/>
      </c>
      <c r="L31" s="37" t="str">
        <f>IF(AND('Mapa final'!$Y$43="Media",'Mapa final'!$AA$43="Leve"),CONCATENATE("R6C",'Mapa final'!$O$43),"")</f>
        <v/>
      </c>
      <c r="M31" s="37" t="e">
        <f>IF(AND('Mapa final'!#REF!="Media",'Mapa final'!#REF!="Leve"),CONCATENATE("R6C",'Mapa final'!#REF!),"")</f>
        <v>#REF!</v>
      </c>
      <c r="N31" s="37" t="e">
        <f>IF(AND('Mapa final'!#REF!="Media",'Mapa final'!#REF!="Leve"),CONCATENATE("R6C",'Mapa final'!#REF!),"")</f>
        <v>#REF!</v>
      </c>
      <c r="O31" s="38" t="e">
        <f>IF(AND('Mapa final'!#REF!="Media",'Mapa final'!#REF!="Leve"),CONCATENATE("R6C",'Mapa final'!#REF!),"")</f>
        <v>#REF!</v>
      </c>
      <c r="P31" s="36" t="str">
        <f>IF(AND('Mapa final'!$Y$41="Media",'Mapa final'!$AA$41="Menor"),CONCATENATE("R6C",'Mapa final'!$O$41),"")</f>
        <v/>
      </c>
      <c r="Q31" s="37" t="str">
        <f>IF(AND('Mapa final'!$Y$42="Media",'Mapa final'!$AA$42="Menor"),CONCATENATE("R6C",'Mapa final'!$O$42),"")</f>
        <v/>
      </c>
      <c r="R31" s="37" t="str">
        <f>IF(AND('Mapa final'!$Y$43="Media",'Mapa final'!$AA$43="Menor"),CONCATENATE("R6C",'Mapa final'!$O$43),"")</f>
        <v/>
      </c>
      <c r="S31" s="37" t="e">
        <f>IF(AND('Mapa final'!#REF!="Media",'Mapa final'!#REF!="Menor"),CONCATENATE("R6C",'Mapa final'!#REF!),"")</f>
        <v>#REF!</v>
      </c>
      <c r="T31" s="37" t="e">
        <f>IF(AND('Mapa final'!#REF!="Media",'Mapa final'!#REF!="Menor"),CONCATENATE("R6C",'Mapa final'!#REF!),"")</f>
        <v>#REF!</v>
      </c>
      <c r="U31" s="38" t="e">
        <f>IF(AND('Mapa final'!#REF!="Media",'Mapa final'!#REF!="Menor"),CONCATENATE("R6C",'Mapa final'!#REF!),"")</f>
        <v>#REF!</v>
      </c>
      <c r="V31" s="36" t="str">
        <f>IF(AND('Mapa final'!$Y$41="Media",'Mapa final'!$AA$41="Moderado"),CONCATENATE("R6C",'Mapa final'!$O$41),"")</f>
        <v/>
      </c>
      <c r="W31" s="37" t="str">
        <f>IF(AND('Mapa final'!$Y$42="Media",'Mapa final'!$AA$42="Moderado"),CONCATENATE("R6C",'Mapa final'!$O$42),"")</f>
        <v/>
      </c>
      <c r="X31" s="37" t="str">
        <f>IF(AND('Mapa final'!$Y$43="Media",'Mapa final'!$AA$43="Moderado"),CONCATENATE("R6C",'Mapa final'!$O$43),"")</f>
        <v/>
      </c>
      <c r="Y31" s="37" t="e">
        <f>IF(AND('Mapa final'!#REF!="Media",'Mapa final'!#REF!="Moderado"),CONCATENATE("R6C",'Mapa final'!#REF!),"")</f>
        <v>#REF!</v>
      </c>
      <c r="Z31" s="37" t="e">
        <f>IF(AND('Mapa final'!#REF!="Media",'Mapa final'!#REF!="Moderado"),CONCATENATE("R6C",'Mapa final'!#REF!),"")</f>
        <v>#REF!</v>
      </c>
      <c r="AA31" s="38" t="e">
        <f>IF(AND('Mapa final'!#REF!="Media",'Mapa final'!#REF!="Moderado"),CONCATENATE("R6C",'Mapa final'!#REF!),"")</f>
        <v>#REF!</v>
      </c>
      <c r="AB31" s="21" t="str">
        <f>IF(AND('Mapa final'!$Y$41="Media",'Mapa final'!$AA$41="Mayor"),CONCATENATE("R6C",'Mapa final'!$O$41),"")</f>
        <v/>
      </c>
      <c r="AC31" s="22" t="str">
        <f>IF(AND('Mapa final'!$Y$42="Media",'Mapa final'!$AA$42="Mayor"),CONCATENATE("R6C",'Mapa final'!$O$42),"")</f>
        <v/>
      </c>
      <c r="AD31" s="22" t="str">
        <f>IF(AND('Mapa final'!$Y$43="Media",'Mapa final'!$AA$43="Mayor"),CONCATENATE("R6C",'Mapa final'!$O$43),"")</f>
        <v/>
      </c>
      <c r="AE31" s="22" t="e">
        <f>IF(AND('Mapa final'!#REF!="Media",'Mapa final'!#REF!="Mayor"),CONCATENATE("R6C",'Mapa final'!#REF!),"")</f>
        <v>#REF!</v>
      </c>
      <c r="AF31" s="22" t="e">
        <f>IF(AND('Mapa final'!#REF!="Media",'Mapa final'!#REF!="Mayor"),CONCATENATE("R6C",'Mapa final'!#REF!),"")</f>
        <v>#REF!</v>
      </c>
      <c r="AG31" s="23" t="e">
        <f>IF(AND('Mapa final'!#REF!="Media",'Mapa final'!#REF!="Mayor"),CONCATENATE("R6C",'Mapa final'!#REF!),"")</f>
        <v>#REF!</v>
      </c>
      <c r="AH31" s="24" t="str">
        <f>IF(AND('Mapa final'!$Y$41="Media",'Mapa final'!$AA$41="Catastrófico"),CONCATENATE("R6C",'Mapa final'!$O$41),"")</f>
        <v/>
      </c>
      <c r="AI31" s="25" t="str">
        <f>IF(AND('Mapa final'!$Y$42="Media",'Mapa final'!$AA$42="Catastrófico"),CONCATENATE("R6C",'Mapa final'!$O$42),"")</f>
        <v/>
      </c>
      <c r="AJ31" s="25" t="str">
        <f>IF(AND('Mapa final'!$Y$43="Media",'Mapa final'!$AA$43="Catastrófico"),CONCATENATE("R6C",'Mapa final'!$O$43),"")</f>
        <v/>
      </c>
      <c r="AK31" s="25" t="e">
        <f>IF(AND('Mapa final'!#REF!="Media",'Mapa final'!#REF!="Catastrófico"),CONCATENATE("R6C",'Mapa final'!#REF!),"")</f>
        <v>#REF!</v>
      </c>
      <c r="AL31" s="25" t="e">
        <f>IF(AND('Mapa final'!#REF!="Media",'Mapa final'!#REF!="Catastrófico"),CONCATENATE("R6C",'Mapa final'!#REF!),"")</f>
        <v>#REF!</v>
      </c>
      <c r="AM31" s="26" t="e">
        <f>IF(AND('Mapa final'!#REF!="Media",'Mapa final'!#REF!="Catastrófico"),CONCATENATE("R6C",'Mapa final'!#REF!),"")</f>
        <v>#REF!</v>
      </c>
      <c r="AN31" s="1"/>
      <c r="AO31" s="272"/>
      <c r="AP31" s="218"/>
      <c r="AQ31" s="218"/>
      <c r="AR31" s="218"/>
      <c r="AS31" s="218"/>
      <c r="AT31" s="273"/>
    </row>
    <row r="32" spans="2:46" ht="15" customHeight="1" x14ac:dyDescent="0.35">
      <c r="B32" s="263"/>
      <c r="C32" s="218"/>
      <c r="D32" s="219"/>
      <c r="E32" s="230"/>
      <c r="F32" s="218"/>
      <c r="G32" s="218"/>
      <c r="H32" s="218"/>
      <c r="I32" s="219"/>
      <c r="J32" s="36" t="e">
        <f>IF(AND('Mapa final'!#REF!="Media",'Mapa final'!#REF!="Leve"),CONCATENATE("R7C",'Mapa final'!#REF!),"")</f>
        <v>#REF!</v>
      </c>
      <c r="K32" s="37" t="e">
        <f>IF(AND('Mapa final'!#REF!="Media",'Mapa final'!#REF!="Leve"),CONCATENATE("R7C",'Mapa final'!#REF!),"")</f>
        <v>#REF!</v>
      </c>
      <c r="L32" s="37" t="e">
        <f>IF(AND('Mapa final'!#REF!="Media",'Mapa final'!#REF!="Leve"),CONCATENATE("R7C",'Mapa final'!#REF!),"")</f>
        <v>#REF!</v>
      </c>
      <c r="M32" s="37" t="e">
        <f>IF(AND('Mapa final'!#REF!="Media",'Mapa final'!#REF!="Leve"),CONCATENATE("R7C",'Mapa final'!#REF!),"")</f>
        <v>#REF!</v>
      </c>
      <c r="N32" s="37" t="e">
        <f>IF(AND('Mapa final'!#REF!="Media",'Mapa final'!#REF!="Leve"),CONCATENATE("R7C",'Mapa final'!#REF!),"")</f>
        <v>#REF!</v>
      </c>
      <c r="O32" s="38" t="e">
        <f>IF(AND('Mapa final'!#REF!="Media",'Mapa final'!#REF!="Leve"),CONCATENATE("R7C",'Mapa final'!#REF!),"")</f>
        <v>#REF!</v>
      </c>
      <c r="P32" s="36" t="e">
        <f>IF(AND('Mapa final'!#REF!="Media",'Mapa final'!#REF!="Menor"),CONCATENATE("R7C",'Mapa final'!#REF!),"")</f>
        <v>#REF!</v>
      </c>
      <c r="Q32" s="37" t="e">
        <f>IF(AND('Mapa final'!#REF!="Media",'Mapa final'!#REF!="Menor"),CONCATENATE("R7C",'Mapa final'!#REF!),"")</f>
        <v>#REF!</v>
      </c>
      <c r="R32" s="37" t="e">
        <f>IF(AND('Mapa final'!#REF!="Media",'Mapa final'!#REF!="Menor"),CONCATENATE("R7C",'Mapa final'!#REF!),"")</f>
        <v>#REF!</v>
      </c>
      <c r="S32" s="37" t="e">
        <f>IF(AND('Mapa final'!#REF!="Media",'Mapa final'!#REF!="Menor"),CONCATENATE("R7C",'Mapa final'!#REF!),"")</f>
        <v>#REF!</v>
      </c>
      <c r="T32" s="37" t="e">
        <f>IF(AND('Mapa final'!#REF!="Media",'Mapa final'!#REF!="Menor"),CONCATENATE("R7C",'Mapa final'!#REF!),"")</f>
        <v>#REF!</v>
      </c>
      <c r="U32" s="38" t="e">
        <f>IF(AND('Mapa final'!#REF!="Media",'Mapa final'!#REF!="Menor"),CONCATENATE("R7C",'Mapa final'!#REF!),"")</f>
        <v>#REF!</v>
      </c>
      <c r="V32" s="36" t="e">
        <f>IF(AND('Mapa final'!#REF!="Media",'Mapa final'!#REF!="Moderado"),CONCATENATE("R7C",'Mapa final'!#REF!),"")</f>
        <v>#REF!</v>
      </c>
      <c r="W32" s="37" t="e">
        <f>IF(AND('Mapa final'!#REF!="Media",'Mapa final'!#REF!="Moderado"),CONCATENATE("R7C",'Mapa final'!#REF!),"")</f>
        <v>#REF!</v>
      </c>
      <c r="X32" s="37" t="e">
        <f>IF(AND('Mapa final'!#REF!="Media",'Mapa final'!#REF!="Moderado"),CONCATENATE("R7C",'Mapa final'!#REF!),"")</f>
        <v>#REF!</v>
      </c>
      <c r="Y32" s="37" t="e">
        <f>IF(AND('Mapa final'!#REF!="Media",'Mapa final'!#REF!="Moderado"),CONCATENATE("R7C",'Mapa final'!#REF!),"")</f>
        <v>#REF!</v>
      </c>
      <c r="Z32" s="37" t="e">
        <f>IF(AND('Mapa final'!#REF!="Media",'Mapa final'!#REF!="Moderado"),CONCATENATE("R7C",'Mapa final'!#REF!),"")</f>
        <v>#REF!</v>
      </c>
      <c r="AA32" s="38" t="e">
        <f>IF(AND('Mapa final'!#REF!="Media",'Mapa final'!#REF!="Moderado"),CONCATENATE("R7C",'Mapa final'!#REF!),"")</f>
        <v>#REF!</v>
      </c>
      <c r="AB32" s="21" t="e">
        <f>IF(AND('Mapa final'!#REF!="Media",'Mapa final'!#REF!="Mayor"),CONCATENATE("R7C",'Mapa final'!#REF!),"")</f>
        <v>#REF!</v>
      </c>
      <c r="AC32" s="22" t="e">
        <f>IF(AND('Mapa final'!#REF!="Media",'Mapa final'!#REF!="Mayor"),CONCATENATE("R7C",'Mapa final'!#REF!),"")</f>
        <v>#REF!</v>
      </c>
      <c r="AD32" s="22" t="e">
        <f>IF(AND('Mapa final'!#REF!="Media",'Mapa final'!#REF!="Mayor"),CONCATENATE("R7C",'Mapa final'!#REF!),"")</f>
        <v>#REF!</v>
      </c>
      <c r="AE32" s="22" t="e">
        <f>IF(AND('Mapa final'!#REF!="Media",'Mapa final'!#REF!="Mayor"),CONCATENATE("R7C",'Mapa final'!#REF!),"")</f>
        <v>#REF!</v>
      </c>
      <c r="AF32" s="22" t="e">
        <f>IF(AND('Mapa final'!#REF!="Media",'Mapa final'!#REF!="Mayor"),CONCATENATE("R7C",'Mapa final'!#REF!),"")</f>
        <v>#REF!</v>
      </c>
      <c r="AG32" s="23" t="e">
        <f>IF(AND('Mapa final'!#REF!="Media",'Mapa final'!#REF!="Mayor"),CONCATENATE("R7C",'Mapa final'!#REF!),"")</f>
        <v>#REF!</v>
      </c>
      <c r="AH32" s="24" t="e">
        <f>IF(AND('Mapa final'!#REF!="Media",'Mapa final'!#REF!="Catastrófico"),CONCATENATE("R7C",'Mapa final'!#REF!),"")</f>
        <v>#REF!</v>
      </c>
      <c r="AI32" s="25" t="e">
        <f>IF(AND('Mapa final'!#REF!="Media",'Mapa final'!#REF!="Catastrófico"),CONCATENATE("R7C",'Mapa final'!#REF!),"")</f>
        <v>#REF!</v>
      </c>
      <c r="AJ32" s="25" t="e">
        <f>IF(AND('Mapa final'!#REF!="Media",'Mapa final'!#REF!="Catastrófico"),CONCATENATE("R7C",'Mapa final'!#REF!),"")</f>
        <v>#REF!</v>
      </c>
      <c r="AK32" s="25" t="e">
        <f>IF(AND('Mapa final'!#REF!="Media",'Mapa final'!#REF!="Catastrófico"),CONCATENATE("R7C",'Mapa final'!#REF!),"")</f>
        <v>#REF!</v>
      </c>
      <c r="AL32" s="25" t="e">
        <f>IF(AND('Mapa final'!#REF!="Media",'Mapa final'!#REF!="Catastrófico"),CONCATENATE("R7C",'Mapa final'!#REF!),"")</f>
        <v>#REF!</v>
      </c>
      <c r="AM32" s="26" t="e">
        <f>IF(AND('Mapa final'!#REF!="Media",'Mapa final'!#REF!="Catastrófico"),CONCATENATE("R7C",'Mapa final'!#REF!),"")</f>
        <v>#REF!</v>
      </c>
      <c r="AN32" s="1"/>
      <c r="AO32" s="272"/>
      <c r="AP32" s="218"/>
      <c r="AQ32" s="218"/>
      <c r="AR32" s="218"/>
      <c r="AS32" s="218"/>
      <c r="AT32" s="273"/>
    </row>
    <row r="33" spans="2:46" ht="15" customHeight="1" x14ac:dyDescent="0.35">
      <c r="B33" s="263"/>
      <c r="C33" s="218"/>
      <c r="D33" s="219"/>
      <c r="E33" s="230"/>
      <c r="F33" s="218"/>
      <c r="G33" s="218"/>
      <c r="H33" s="218"/>
      <c r="I33" s="219"/>
      <c r="J33" s="36" t="e">
        <f>IF(AND('Mapa final'!#REF!="Media",'Mapa final'!#REF!="Leve"),CONCATENATE("R8C",'Mapa final'!#REF!),"")</f>
        <v>#REF!</v>
      </c>
      <c r="K33" s="37" t="e">
        <f>IF(AND('Mapa final'!#REF!="Media",'Mapa final'!#REF!="Leve"),CONCATENATE("R8C",'Mapa final'!#REF!),"")</f>
        <v>#REF!</v>
      </c>
      <c r="L33" s="37" t="e">
        <f>IF(AND('Mapa final'!#REF!="Media",'Mapa final'!#REF!="Leve"),CONCATENATE("R8C",'Mapa final'!#REF!),"")</f>
        <v>#REF!</v>
      </c>
      <c r="M33" s="37" t="e">
        <f>IF(AND('Mapa final'!#REF!="Media",'Mapa final'!#REF!="Leve"),CONCATENATE("R8C",'Mapa final'!#REF!),"")</f>
        <v>#REF!</v>
      </c>
      <c r="N33" s="37" t="e">
        <f>IF(AND('Mapa final'!#REF!="Media",'Mapa final'!#REF!="Leve"),CONCATENATE("R8C",'Mapa final'!#REF!),"")</f>
        <v>#REF!</v>
      </c>
      <c r="O33" s="38" t="e">
        <f>IF(AND('Mapa final'!#REF!="Media",'Mapa final'!#REF!="Leve"),CONCATENATE("R8C",'Mapa final'!#REF!),"")</f>
        <v>#REF!</v>
      </c>
      <c r="P33" s="36" t="e">
        <f>IF(AND('Mapa final'!#REF!="Media",'Mapa final'!#REF!="Menor"),CONCATENATE("R8C",'Mapa final'!#REF!),"")</f>
        <v>#REF!</v>
      </c>
      <c r="Q33" s="37" t="e">
        <f>IF(AND('Mapa final'!#REF!="Media",'Mapa final'!#REF!="Menor"),CONCATENATE("R8C",'Mapa final'!#REF!),"")</f>
        <v>#REF!</v>
      </c>
      <c r="R33" s="37" t="e">
        <f>IF(AND('Mapa final'!#REF!="Media",'Mapa final'!#REF!="Menor"),CONCATENATE("R8C",'Mapa final'!#REF!),"")</f>
        <v>#REF!</v>
      </c>
      <c r="S33" s="37" t="e">
        <f>IF(AND('Mapa final'!#REF!="Media",'Mapa final'!#REF!="Menor"),CONCATENATE("R8C",'Mapa final'!#REF!),"")</f>
        <v>#REF!</v>
      </c>
      <c r="T33" s="37" t="e">
        <f>IF(AND('Mapa final'!#REF!="Media",'Mapa final'!#REF!="Menor"),CONCATENATE("R8C",'Mapa final'!#REF!),"")</f>
        <v>#REF!</v>
      </c>
      <c r="U33" s="38" t="e">
        <f>IF(AND('Mapa final'!#REF!="Media",'Mapa final'!#REF!="Menor"),CONCATENATE("R8C",'Mapa final'!#REF!),"")</f>
        <v>#REF!</v>
      </c>
      <c r="V33" s="36" t="e">
        <f>IF(AND('Mapa final'!#REF!="Media",'Mapa final'!#REF!="Moderado"),CONCATENATE("R8C",'Mapa final'!#REF!),"")</f>
        <v>#REF!</v>
      </c>
      <c r="W33" s="37" t="e">
        <f>IF(AND('Mapa final'!#REF!="Media",'Mapa final'!#REF!="Moderado"),CONCATENATE("R8C",'Mapa final'!#REF!),"")</f>
        <v>#REF!</v>
      </c>
      <c r="X33" s="37" t="e">
        <f>IF(AND('Mapa final'!#REF!="Media",'Mapa final'!#REF!="Moderado"),CONCATENATE("R8C",'Mapa final'!#REF!),"")</f>
        <v>#REF!</v>
      </c>
      <c r="Y33" s="37" t="e">
        <f>IF(AND('Mapa final'!#REF!="Media",'Mapa final'!#REF!="Moderado"),CONCATENATE("R8C",'Mapa final'!#REF!),"")</f>
        <v>#REF!</v>
      </c>
      <c r="Z33" s="37" t="e">
        <f>IF(AND('Mapa final'!#REF!="Media",'Mapa final'!#REF!="Moderado"),CONCATENATE("R8C",'Mapa final'!#REF!),"")</f>
        <v>#REF!</v>
      </c>
      <c r="AA33" s="38" t="e">
        <f>IF(AND('Mapa final'!#REF!="Media",'Mapa final'!#REF!="Moderado"),CONCATENATE("R8C",'Mapa final'!#REF!),"")</f>
        <v>#REF!</v>
      </c>
      <c r="AB33" s="21" t="e">
        <f>IF(AND('Mapa final'!#REF!="Media",'Mapa final'!#REF!="Mayor"),CONCATENATE("R8C",'Mapa final'!#REF!),"")</f>
        <v>#REF!</v>
      </c>
      <c r="AC33" s="22" t="e">
        <f>IF(AND('Mapa final'!#REF!="Media",'Mapa final'!#REF!="Mayor"),CONCATENATE("R8C",'Mapa final'!#REF!),"")</f>
        <v>#REF!</v>
      </c>
      <c r="AD33" s="22" t="e">
        <f>IF(AND('Mapa final'!#REF!="Media",'Mapa final'!#REF!="Mayor"),CONCATENATE("R8C",'Mapa final'!#REF!),"")</f>
        <v>#REF!</v>
      </c>
      <c r="AE33" s="22" t="e">
        <f>IF(AND('Mapa final'!#REF!="Media",'Mapa final'!#REF!="Mayor"),CONCATENATE("R8C",'Mapa final'!#REF!),"")</f>
        <v>#REF!</v>
      </c>
      <c r="AF33" s="22" t="e">
        <f>IF(AND('Mapa final'!#REF!="Media",'Mapa final'!#REF!="Mayor"),CONCATENATE("R8C",'Mapa final'!#REF!),"")</f>
        <v>#REF!</v>
      </c>
      <c r="AG33" s="23" t="e">
        <f>IF(AND('Mapa final'!#REF!="Media",'Mapa final'!#REF!="Mayor"),CONCATENATE("R8C",'Mapa final'!#REF!),"")</f>
        <v>#REF!</v>
      </c>
      <c r="AH33" s="24" t="e">
        <f>IF(AND('Mapa final'!#REF!="Media",'Mapa final'!#REF!="Catastrófico"),CONCATENATE("R8C",'Mapa final'!#REF!),"")</f>
        <v>#REF!</v>
      </c>
      <c r="AI33" s="25" t="e">
        <f>IF(AND('Mapa final'!#REF!="Media",'Mapa final'!#REF!="Catastrófico"),CONCATENATE("R8C",'Mapa final'!#REF!),"")</f>
        <v>#REF!</v>
      </c>
      <c r="AJ33" s="25" t="e">
        <f>IF(AND('Mapa final'!#REF!="Media",'Mapa final'!#REF!="Catastrófico"),CONCATENATE("R8C",'Mapa final'!#REF!),"")</f>
        <v>#REF!</v>
      </c>
      <c r="AK33" s="25" t="e">
        <f>IF(AND('Mapa final'!#REF!="Media",'Mapa final'!#REF!="Catastrófico"),CONCATENATE("R8C",'Mapa final'!#REF!),"")</f>
        <v>#REF!</v>
      </c>
      <c r="AL33" s="25" t="e">
        <f>IF(AND('Mapa final'!#REF!="Media",'Mapa final'!#REF!="Catastrófico"),CONCATENATE("R8C",'Mapa final'!#REF!),"")</f>
        <v>#REF!</v>
      </c>
      <c r="AM33" s="26" t="e">
        <f>IF(AND('Mapa final'!#REF!="Media",'Mapa final'!#REF!="Catastrófico"),CONCATENATE("R8C",'Mapa final'!#REF!),"")</f>
        <v>#REF!</v>
      </c>
      <c r="AN33" s="1"/>
      <c r="AO33" s="272"/>
      <c r="AP33" s="218"/>
      <c r="AQ33" s="218"/>
      <c r="AR33" s="218"/>
      <c r="AS33" s="218"/>
      <c r="AT33" s="273"/>
    </row>
    <row r="34" spans="2:46" ht="15" customHeight="1" x14ac:dyDescent="0.35">
      <c r="B34" s="263"/>
      <c r="C34" s="218"/>
      <c r="D34" s="219"/>
      <c r="E34" s="230"/>
      <c r="F34" s="218"/>
      <c r="G34" s="218"/>
      <c r="H34" s="218"/>
      <c r="I34" s="219"/>
      <c r="J34" s="36" t="e">
        <f>IF(AND('Mapa final'!#REF!="Media",'Mapa final'!#REF!="Leve"),CONCATENATE("R9C",'Mapa final'!#REF!),"")</f>
        <v>#REF!</v>
      </c>
      <c r="K34" s="37" t="e">
        <f>IF(AND('Mapa final'!#REF!="Media",'Mapa final'!#REF!="Leve"),CONCATENATE("R9C",'Mapa final'!#REF!),"")</f>
        <v>#REF!</v>
      </c>
      <c r="L34" s="37" t="e">
        <f>IF(AND('Mapa final'!#REF!="Media",'Mapa final'!#REF!="Leve"),CONCATENATE("R9C",'Mapa final'!#REF!),"")</f>
        <v>#REF!</v>
      </c>
      <c r="M34" s="37" t="e">
        <f>IF(AND('Mapa final'!#REF!="Media",'Mapa final'!#REF!="Leve"),CONCATENATE("R9C",'Mapa final'!#REF!),"")</f>
        <v>#REF!</v>
      </c>
      <c r="N34" s="37" t="e">
        <f>IF(AND('Mapa final'!#REF!="Media",'Mapa final'!#REF!="Leve"),CONCATENATE("R9C",'Mapa final'!#REF!),"")</f>
        <v>#REF!</v>
      </c>
      <c r="O34" s="38" t="e">
        <f>IF(AND('Mapa final'!#REF!="Media",'Mapa final'!#REF!="Leve"),CONCATENATE("R9C",'Mapa final'!#REF!),"")</f>
        <v>#REF!</v>
      </c>
      <c r="P34" s="36" t="e">
        <f>IF(AND('Mapa final'!#REF!="Media",'Mapa final'!#REF!="Menor"),CONCATENATE("R9C",'Mapa final'!#REF!),"")</f>
        <v>#REF!</v>
      </c>
      <c r="Q34" s="37" t="e">
        <f>IF(AND('Mapa final'!#REF!="Media",'Mapa final'!#REF!="Menor"),CONCATENATE("R9C",'Mapa final'!#REF!),"")</f>
        <v>#REF!</v>
      </c>
      <c r="R34" s="37" t="e">
        <f>IF(AND('Mapa final'!#REF!="Media",'Mapa final'!#REF!="Menor"),CONCATENATE("R9C",'Mapa final'!#REF!),"")</f>
        <v>#REF!</v>
      </c>
      <c r="S34" s="37" t="e">
        <f>IF(AND('Mapa final'!#REF!="Media",'Mapa final'!#REF!="Menor"),CONCATENATE("R9C",'Mapa final'!#REF!),"")</f>
        <v>#REF!</v>
      </c>
      <c r="T34" s="37" t="e">
        <f>IF(AND('Mapa final'!#REF!="Media",'Mapa final'!#REF!="Menor"),CONCATENATE("R9C",'Mapa final'!#REF!),"")</f>
        <v>#REF!</v>
      </c>
      <c r="U34" s="38" t="e">
        <f>IF(AND('Mapa final'!#REF!="Media",'Mapa final'!#REF!="Menor"),CONCATENATE("R9C",'Mapa final'!#REF!),"")</f>
        <v>#REF!</v>
      </c>
      <c r="V34" s="36" t="e">
        <f>IF(AND('Mapa final'!#REF!="Media",'Mapa final'!#REF!="Moderado"),CONCATENATE("R9C",'Mapa final'!#REF!),"")</f>
        <v>#REF!</v>
      </c>
      <c r="W34" s="37" t="e">
        <f>IF(AND('Mapa final'!#REF!="Media",'Mapa final'!#REF!="Moderado"),CONCATENATE("R9C",'Mapa final'!#REF!),"")</f>
        <v>#REF!</v>
      </c>
      <c r="X34" s="37" t="e">
        <f>IF(AND('Mapa final'!#REF!="Media",'Mapa final'!#REF!="Moderado"),CONCATENATE("R9C",'Mapa final'!#REF!),"")</f>
        <v>#REF!</v>
      </c>
      <c r="Y34" s="37" t="e">
        <f>IF(AND('Mapa final'!#REF!="Media",'Mapa final'!#REF!="Moderado"),CONCATENATE("R9C",'Mapa final'!#REF!),"")</f>
        <v>#REF!</v>
      </c>
      <c r="Z34" s="37" t="e">
        <f>IF(AND('Mapa final'!#REF!="Media",'Mapa final'!#REF!="Moderado"),CONCATENATE("R9C",'Mapa final'!#REF!),"")</f>
        <v>#REF!</v>
      </c>
      <c r="AA34" s="38" t="e">
        <f>IF(AND('Mapa final'!#REF!="Media",'Mapa final'!#REF!="Moderado"),CONCATENATE("R9C",'Mapa final'!#REF!),"")</f>
        <v>#REF!</v>
      </c>
      <c r="AB34" s="21" t="e">
        <f>IF(AND('Mapa final'!#REF!="Media",'Mapa final'!#REF!="Mayor"),CONCATENATE("R9C",'Mapa final'!#REF!),"")</f>
        <v>#REF!</v>
      </c>
      <c r="AC34" s="22" t="e">
        <f>IF(AND('Mapa final'!#REF!="Media",'Mapa final'!#REF!="Mayor"),CONCATENATE("R9C",'Mapa final'!#REF!),"")</f>
        <v>#REF!</v>
      </c>
      <c r="AD34" s="22" t="e">
        <f>IF(AND('Mapa final'!#REF!="Media",'Mapa final'!#REF!="Mayor"),CONCATENATE("R9C",'Mapa final'!#REF!),"")</f>
        <v>#REF!</v>
      </c>
      <c r="AE34" s="22" t="e">
        <f>IF(AND('Mapa final'!#REF!="Media",'Mapa final'!#REF!="Mayor"),CONCATENATE("R9C",'Mapa final'!#REF!),"")</f>
        <v>#REF!</v>
      </c>
      <c r="AF34" s="22" t="e">
        <f>IF(AND('Mapa final'!#REF!="Media",'Mapa final'!#REF!="Mayor"),CONCATENATE("R9C",'Mapa final'!#REF!),"")</f>
        <v>#REF!</v>
      </c>
      <c r="AG34" s="23" t="e">
        <f>IF(AND('Mapa final'!#REF!="Media",'Mapa final'!#REF!="Mayor"),CONCATENATE("R9C",'Mapa final'!#REF!),"")</f>
        <v>#REF!</v>
      </c>
      <c r="AH34" s="24" t="e">
        <f>IF(AND('Mapa final'!#REF!="Media",'Mapa final'!#REF!="Catastrófico"),CONCATENATE("R9C",'Mapa final'!#REF!),"")</f>
        <v>#REF!</v>
      </c>
      <c r="AI34" s="25" t="e">
        <f>IF(AND('Mapa final'!#REF!="Media",'Mapa final'!#REF!="Catastrófico"),CONCATENATE("R9C",'Mapa final'!#REF!),"")</f>
        <v>#REF!</v>
      </c>
      <c r="AJ34" s="25" t="e">
        <f>IF(AND('Mapa final'!#REF!="Media",'Mapa final'!#REF!="Catastrófico"),CONCATENATE("R9C",'Mapa final'!#REF!),"")</f>
        <v>#REF!</v>
      </c>
      <c r="AK34" s="25" t="e">
        <f>IF(AND('Mapa final'!#REF!="Media",'Mapa final'!#REF!="Catastrófico"),CONCATENATE("R9C",'Mapa final'!#REF!),"")</f>
        <v>#REF!</v>
      </c>
      <c r="AL34" s="25" t="e">
        <f>IF(AND('Mapa final'!#REF!="Media",'Mapa final'!#REF!="Catastrófico"),CONCATENATE("R9C",'Mapa final'!#REF!),"")</f>
        <v>#REF!</v>
      </c>
      <c r="AM34" s="26" t="e">
        <f>IF(AND('Mapa final'!#REF!="Media",'Mapa final'!#REF!="Catastrófico"),CONCATENATE("R9C",'Mapa final'!#REF!),"")</f>
        <v>#REF!</v>
      </c>
      <c r="AN34" s="1"/>
      <c r="AO34" s="272"/>
      <c r="AP34" s="218"/>
      <c r="AQ34" s="218"/>
      <c r="AR34" s="218"/>
      <c r="AS34" s="218"/>
      <c r="AT34" s="273"/>
    </row>
    <row r="35" spans="2:46" ht="15.75" customHeight="1" x14ac:dyDescent="0.35">
      <c r="B35" s="263"/>
      <c r="C35" s="218"/>
      <c r="D35" s="219"/>
      <c r="E35" s="253"/>
      <c r="F35" s="254"/>
      <c r="G35" s="254"/>
      <c r="H35" s="254"/>
      <c r="I35" s="257"/>
      <c r="J35" s="36" t="e">
        <f>IF(AND('Mapa final'!#REF!="Media",'Mapa final'!#REF!="Leve"),CONCATENATE("R10C",'Mapa final'!#REF!),"")</f>
        <v>#REF!</v>
      </c>
      <c r="K35" s="37" t="e">
        <f>IF(AND('Mapa final'!#REF!="Media",'Mapa final'!#REF!="Leve"),CONCATENATE("R10C",'Mapa final'!#REF!),"")</f>
        <v>#REF!</v>
      </c>
      <c r="L35" s="37" t="e">
        <f>IF(AND('Mapa final'!#REF!="Media",'Mapa final'!#REF!="Leve"),CONCATENATE("R10C",'Mapa final'!#REF!),"")</f>
        <v>#REF!</v>
      </c>
      <c r="M35" s="37" t="e">
        <f>IF(AND('Mapa final'!#REF!="Media",'Mapa final'!#REF!="Leve"),CONCATENATE("R10C",'Mapa final'!#REF!),"")</f>
        <v>#REF!</v>
      </c>
      <c r="N35" s="37" t="e">
        <f>IF(AND('Mapa final'!#REF!="Media",'Mapa final'!#REF!="Leve"),CONCATENATE("R10C",'Mapa final'!#REF!),"")</f>
        <v>#REF!</v>
      </c>
      <c r="O35" s="38" t="e">
        <f>IF(AND('Mapa final'!#REF!="Media",'Mapa final'!#REF!="Leve"),CONCATENATE("R10C",'Mapa final'!#REF!),"")</f>
        <v>#REF!</v>
      </c>
      <c r="P35" s="36" t="e">
        <f>IF(AND('Mapa final'!#REF!="Media",'Mapa final'!#REF!="Menor"),CONCATENATE("R10C",'Mapa final'!#REF!),"")</f>
        <v>#REF!</v>
      </c>
      <c r="Q35" s="37" t="e">
        <f>IF(AND('Mapa final'!#REF!="Media",'Mapa final'!#REF!="Menor"),CONCATENATE("R10C",'Mapa final'!#REF!),"")</f>
        <v>#REF!</v>
      </c>
      <c r="R35" s="37" t="e">
        <f>IF(AND('Mapa final'!#REF!="Media",'Mapa final'!#REF!="Menor"),CONCATENATE("R10C",'Mapa final'!#REF!),"")</f>
        <v>#REF!</v>
      </c>
      <c r="S35" s="37" t="e">
        <f>IF(AND('Mapa final'!#REF!="Media",'Mapa final'!#REF!="Menor"),CONCATENATE("R10C",'Mapa final'!#REF!),"")</f>
        <v>#REF!</v>
      </c>
      <c r="T35" s="37" t="e">
        <f>IF(AND('Mapa final'!#REF!="Media",'Mapa final'!#REF!="Menor"),CONCATENATE("R10C",'Mapa final'!#REF!),"")</f>
        <v>#REF!</v>
      </c>
      <c r="U35" s="38" t="e">
        <f>IF(AND('Mapa final'!#REF!="Media",'Mapa final'!#REF!="Menor"),CONCATENATE("R10C",'Mapa final'!#REF!),"")</f>
        <v>#REF!</v>
      </c>
      <c r="V35" s="36" t="e">
        <f>IF(AND('Mapa final'!#REF!="Media",'Mapa final'!#REF!="Moderado"),CONCATENATE("R10C",'Mapa final'!#REF!),"")</f>
        <v>#REF!</v>
      </c>
      <c r="W35" s="37" t="e">
        <f>IF(AND('Mapa final'!#REF!="Media",'Mapa final'!#REF!="Moderado"),CONCATENATE("R10C",'Mapa final'!#REF!),"")</f>
        <v>#REF!</v>
      </c>
      <c r="X35" s="37" t="e">
        <f>IF(AND('Mapa final'!#REF!="Media",'Mapa final'!#REF!="Moderado"),CONCATENATE("R10C",'Mapa final'!#REF!),"")</f>
        <v>#REF!</v>
      </c>
      <c r="Y35" s="37" t="e">
        <f>IF(AND('Mapa final'!#REF!="Media",'Mapa final'!#REF!="Moderado"),CONCATENATE("R10C",'Mapa final'!#REF!),"")</f>
        <v>#REF!</v>
      </c>
      <c r="Z35" s="37" t="e">
        <f>IF(AND('Mapa final'!#REF!="Media",'Mapa final'!#REF!="Moderado"),CONCATENATE("R10C",'Mapa final'!#REF!),"")</f>
        <v>#REF!</v>
      </c>
      <c r="AA35" s="38" t="e">
        <f>IF(AND('Mapa final'!#REF!="Media",'Mapa final'!#REF!="Moderado"),CONCATENATE("R10C",'Mapa final'!#REF!),"")</f>
        <v>#REF!</v>
      </c>
      <c r="AB35" s="27" t="e">
        <f>IF(AND('Mapa final'!#REF!="Media",'Mapa final'!#REF!="Mayor"),CONCATENATE("R10C",'Mapa final'!#REF!),"")</f>
        <v>#REF!</v>
      </c>
      <c r="AC35" s="28" t="e">
        <f>IF(AND('Mapa final'!#REF!="Media",'Mapa final'!#REF!="Mayor"),CONCATENATE("R10C",'Mapa final'!#REF!),"")</f>
        <v>#REF!</v>
      </c>
      <c r="AD35" s="28" t="e">
        <f>IF(AND('Mapa final'!#REF!="Media",'Mapa final'!#REF!="Mayor"),CONCATENATE("R10C",'Mapa final'!#REF!),"")</f>
        <v>#REF!</v>
      </c>
      <c r="AE35" s="28" t="e">
        <f>IF(AND('Mapa final'!#REF!="Media",'Mapa final'!#REF!="Mayor"),CONCATENATE("R10C",'Mapa final'!#REF!),"")</f>
        <v>#REF!</v>
      </c>
      <c r="AF35" s="28" t="e">
        <f>IF(AND('Mapa final'!#REF!="Media",'Mapa final'!#REF!="Mayor"),CONCATENATE("R10C",'Mapa final'!#REF!),"")</f>
        <v>#REF!</v>
      </c>
      <c r="AG35" s="29" t="e">
        <f>IF(AND('Mapa final'!#REF!="Media",'Mapa final'!#REF!="Mayor"),CONCATENATE("R10C",'Mapa final'!#REF!),"")</f>
        <v>#REF!</v>
      </c>
      <c r="AH35" s="30" t="e">
        <f>IF(AND('Mapa final'!#REF!="Media",'Mapa final'!#REF!="Catastrófico"),CONCATENATE("R10C",'Mapa final'!#REF!),"")</f>
        <v>#REF!</v>
      </c>
      <c r="AI35" s="31" t="e">
        <f>IF(AND('Mapa final'!#REF!="Media",'Mapa final'!#REF!="Catastrófico"),CONCATENATE("R10C",'Mapa final'!#REF!),"")</f>
        <v>#REF!</v>
      </c>
      <c r="AJ35" s="31" t="e">
        <f>IF(AND('Mapa final'!#REF!="Media",'Mapa final'!#REF!="Catastrófico"),CONCATENATE("R10C",'Mapa final'!#REF!),"")</f>
        <v>#REF!</v>
      </c>
      <c r="AK35" s="31" t="e">
        <f>IF(AND('Mapa final'!#REF!="Media",'Mapa final'!#REF!="Catastrófico"),CONCATENATE("R10C",'Mapa final'!#REF!),"")</f>
        <v>#REF!</v>
      </c>
      <c r="AL35" s="31" t="e">
        <f>IF(AND('Mapa final'!#REF!="Media",'Mapa final'!#REF!="Catastrófico"),CONCATENATE("R10C",'Mapa final'!#REF!),"")</f>
        <v>#REF!</v>
      </c>
      <c r="AM35" s="32" t="e">
        <f>IF(AND('Mapa final'!#REF!="Media",'Mapa final'!#REF!="Catastrófico"),CONCATENATE("R10C",'Mapa final'!#REF!),"")</f>
        <v>#REF!</v>
      </c>
      <c r="AN35" s="1"/>
      <c r="AO35" s="274"/>
      <c r="AP35" s="275"/>
      <c r="AQ35" s="275"/>
      <c r="AR35" s="275"/>
      <c r="AS35" s="275"/>
      <c r="AT35" s="276"/>
    </row>
    <row r="36" spans="2:46" ht="15" customHeight="1" x14ac:dyDescent="0.35">
      <c r="B36" s="263"/>
      <c r="C36" s="218"/>
      <c r="D36" s="219"/>
      <c r="E36" s="281" t="s">
        <v>101</v>
      </c>
      <c r="F36" s="252"/>
      <c r="G36" s="252"/>
      <c r="H36" s="252"/>
      <c r="I36" s="252"/>
      <c r="J36" s="42" t="str">
        <f>IF(AND('Mapa final'!$Y$16="Baja",'Mapa final'!$AA$16="Leve"),CONCATENATE("R1C",'Mapa final'!$O$16),"")</f>
        <v/>
      </c>
      <c r="K36" s="43" t="str">
        <f>IF(AND('Mapa final'!$Y$17="Baja",'Mapa final'!$AA$17="Leve"),CONCATENATE("R1C",'Mapa final'!$O$17),"")</f>
        <v/>
      </c>
      <c r="L36" s="43" t="str">
        <f>IF(AND('Mapa final'!$Y$18="Baja",'Mapa final'!$AA$18="Leve"),CONCATENATE("R1C",'Mapa final'!$O$18),"")</f>
        <v/>
      </c>
      <c r="M36" s="43" t="e">
        <f>IF(AND('Mapa final'!#REF!="Baja",'Mapa final'!#REF!="Leve"),CONCATENATE("R1C",'Mapa final'!#REF!),"")</f>
        <v>#REF!</v>
      </c>
      <c r="N36" s="43" t="e">
        <f>IF(AND('Mapa final'!#REF!="Baja",'Mapa final'!#REF!="Leve"),CONCATENATE("R1C",'Mapa final'!#REF!),"")</f>
        <v>#REF!</v>
      </c>
      <c r="O36" s="44" t="e">
        <f>IF(AND('Mapa final'!#REF!="Baja",'Mapa final'!#REF!="Leve"),CONCATENATE("R1C",'Mapa final'!#REF!),"")</f>
        <v>#REF!</v>
      </c>
      <c r="P36" s="33" t="str">
        <f>IF(AND('Mapa final'!$Y$16="Baja",'Mapa final'!$AA$16="Menor"),CONCATENATE("R1C",'Mapa final'!$O$16),"")</f>
        <v/>
      </c>
      <c r="Q36" s="34" t="str">
        <f>IF(AND('Mapa final'!$Y$17="Baja",'Mapa final'!$AA$17="Menor"),CONCATENATE("R1C",'Mapa final'!$O$17),"")</f>
        <v/>
      </c>
      <c r="R36" s="34" t="str">
        <f>IF(AND('Mapa final'!$Y$18="Baja",'Mapa final'!$AA$18="Menor"),CONCATENATE("R1C",'Mapa final'!$O$18),"")</f>
        <v/>
      </c>
      <c r="S36" s="34" t="e">
        <f>IF(AND('Mapa final'!#REF!="Baja",'Mapa final'!#REF!="Menor"),CONCATENATE("R1C",'Mapa final'!#REF!),"")</f>
        <v>#REF!</v>
      </c>
      <c r="T36" s="34" t="e">
        <f>IF(AND('Mapa final'!#REF!="Baja",'Mapa final'!#REF!="Menor"),CONCATENATE("R1C",'Mapa final'!#REF!),"")</f>
        <v>#REF!</v>
      </c>
      <c r="U36" s="35" t="e">
        <f>IF(AND('Mapa final'!#REF!="Baja",'Mapa final'!#REF!="Menor"),CONCATENATE("R1C",'Mapa final'!#REF!),"")</f>
        <v>#REF!</v>
      </c>
      <c r="V36" s="33" t="str">
        <f>IF(AND('Mapa final'!$Y$16="Baja",'Mapa final'!$AA$16="Moderado"),CONCATENATE("R1C",'Mapa final'!$O$16),"")</f>
        <v/>
      </c>
      <c r="W36" s="34" t="str">
        <f>IF(AND('Mapa final'!$Y$17="Baja",'Mapa final'!$AA$17="Moderado"),CONCATENATE("R1C",'Mapa final'!$O$17),"")</f>
        <v/>
      </c>
      <c r="X36" s="34" t="str">
        <f>IF(AND('Mapa final'!$Y$18="Baja",'Mapa final'!$AA$18="Moderado"),CONCATENATE("R1C",'Mapa final'!$O$18),"")</f>
        <v/>
      </c>
      <c r="Y36" s="34" t="e">
        <f>IF(AND('Mapa final'!#REF!="Baja",'Mapa final'!#REF!="Moderado"),CONCATENATE("R1C",'Mapa final'!#REF!),"")</f>
        <v>#REF!</v>
      </c>
      <c r="Z36" s="34" t="e">
        <f>IF(AND('Mapa final'!#REF!="Baja",'Mapa final'!#REF!="Moderado"),CONCATENATE("R1C",'Mapa final'!#REF!),"")</f>
        <v>#REF!</v>
      </c>
      <c r="AA36" s="35" t="e">
        <f>IF(AND('Mapa final'!#REF!="Baja",'Mapa final'!#REF!="Moderado"),CONCATENATE("R1C",'Mapa final'!#REF!),"")</f>
        <v>#REF!</v>
      </c>
      <c r="AB36" s="15" t="str">
        <f>IF(AND('Mapa final'!$Y$16="Baja",'Mapa final'!$AA$16="Mayor"),CONCATENATE("R1C",'Mapa final'!$O$16),"")</f>
        <v/>
      </c>
      <c r="AC36" s="16" t="str">
        <f>IF(AND('Mapa final'!$Y$17="Baja",'Mapa final'!$AA$17="Mayor"),CONCATENATE("R1C",'Mapa final'!$O$17),"")</f>
        <v/>
      </c>
      <c r="AD36" s="16" t="str">
        <f>IF(AND('Mapa final'!$Y$18="Baja",'Mapa final'!$AA$18="Mayor"),CONCATENATE("R1C",'Mapa final'!$O$18),"")</f>
        <v/>
      </c>
      <c r="AE36" s="16" t="e">
        <f>IF(AND('Mapa final'!#REF!="Baja",'Mapa final'!#REF!="Mayor"),CONCATENATE("R1C",'Mapa final'!#REF!),"")</f>
        <v>#REF!</v>
      </c>
      <c r="AF36" s="16" t="e">
        <f>IF(AND('Mapa final'!#REF!="Baja",'Mapa final'!#REF!="Mayor"),CONCATENATE("R1C",'Mapa final'!#REF!),"")</f>
        <v>#REF!</v>
      </c>
      <c r="AG36" s="17" t="e">
        <f>IF(AND('Mapa final'!#REF!="Baja",'Mapa final'!#REF!="Mayor"),CONCATENATE("R1C",'Mapa final'!#REF!),"")</f>
        <v>#REF!</v>
      </c>
      <c r="AH36" s="18" t="str">
        <f>IF(AND('Mapa final'!$Y$16="Baja",'Mapa final'!$AA$16="Catastrófico"),CONCATENATE("R1C",'Mapa final'!$O$16),"")</f>
        <v/>
      </c>
      <c r="AI36" s="19" t="str">
        <f>IF(AND('Mapa final'!$Y$17="Baja",'Mapa final'!$AA$17="Catastrófico"),CONCATENATE("R1C",'Mapa final'!$O$17),"")</f>
        <v/>
      </c>
      <c r="AJ36" s="19" t="str">
        <f>IF(AND('Mapa final'!$Y$18="Baja",'Mapa final'!$AA$18="Catastrófico"),CONCATENATE("R1C",'Mapa final'!$O$18),"")</f>
        <v/>
      </c>
      <c r="AK36" s="19" t="e">
        <f>IF(AND('Mapa final'!#REF!="Baja",'Mapa final'!#REF!="Catastrófico"),CONCATENATE("R1C",'Mapa final'!#REF!),"")</f>
        <v>#REF!</v>
      </c>
      <c r="AL36" s="19" t="e">
        <f>IF(AND('Mapa final'!#REF!="Baja",'Mapa final'!#REF!="Catastrófico"),CONCATENATE("R1C",'Mapa final'!#REF!),"")</f>
        <v>#REF!</v>
      </c>
      <c r="AM36" s="20" t="e">
        <f>IF(AND('Mapa final'!#REF!="Baja",'Mapa final'!#REF!="Catastrófico"),CONCATENATE("R1C",'Mapa final'!#REF!),"")</f>
        <v>#REF!</v>
      </c>
      <c r="AN36" s="1"/>
      <c r="AO36" s="285" t="s">
        <v>102</v>
      </c>
      <c r="AP36" s="270"/>
      <c r="AQ36" s="270"/>
      <c r="AR36" s="270"/>
      <c r="AS36" s="270"/>
      <c r="AT36" s="271"/>
    </row>
    <row r="37" spans="2:46" ht="15" customHeight="1" x14ac:dyDescent="0.35">
      <c r="B37" s="263"/>
      <c r="C37" s="218"/>
      <c r="D37" s="219"/>
      <c r="E37" s="230"/>
      <c r="F37" s="218"/>
      <c r="G37" s="218"/>
      <c r="H37" s="218"/>
      <c r="I37" s="218"/>
      <c r="J37" s="45" t="str">
        <f>IF(AND('Mapa final'!$Y$21="Baja",'Mapa final'!$AA$21="Leve"),CONCATENATE("R2C",'Mapa final'!$O$21),"")</f>
        <v/>
      </c>
      <c r="K37" s="46" t="e">
        <f>IF(AND('Mapa final'!#REF!="Baja",'Mapa final'!#REF!="Leve"),CONCATENATE("R2C",'Mapa final'!#REF!),"")</f>
        <v>#REF!</v>
      </c>
      <c r="L37" s="46" t="e">
        <f>IF(AND('Mapa final'!#REF!="Baja",'Mapa final'!#REF!="Leve"),CONCATENATE("R2C",'Mapa final'!#REF!),"")</f>
        <v>#REF!</v>
      </c>
      <c r="M37" s="46" t="e">
        <f>IF(AND('Mapa final'!#REF!="Baja",'Mapa final'!#REF!="Leve"),CONCATENATE("R2C",'Mapa final'!#REF!),"")</f>
        <v>#REF!</v>
      </c>
      <c r="N37" s="46" t="str">
        <f>IF(AND('Mapa final'!$Y$22="Baja",'Mapa final'!$AA$22="Leve"),CONCATENATE("R2C",'Mapa final'!$O$22),"")</f>
        <v/>
      </c>
      <c r="O37" s="47" t="str">
        <f>IF(AND('Mapa final'!$Y$23="Baja",'Mapa final'!$AA$23="Leve"),CONCATENATE("R2C",'Mapa final'!$O$23),"")</f>
        <v/>
      </c>
      <c r="P37" s="36" t="str">
        <f>IF(AND('Mapa final'!$Y$21="Baja",'Mapa final'!$AA$21="Menor"),CONCATENATE("R2C",'Mapa final'!$O$21),"")</f>
        <v/>
      </c>
      <c r="Q37" s="37" t="e">
        <f>IF(AND('Mapa final'!#REF!="Baja",'Mapa final'!#REF!="Menor"),CONCATENATE("R2C",'Mapa final'!#REF!),"")</f>
        <v>#REF!</v>
      </c>
      <c r="R37" s="37" t="e">
        <f>IF(AND('Mapa final'!#REF!="Baja",'Mapa final'!#REF!="Menor"),CONCATENATE("R2C",'Mapa final'!#REF!),"")</f>
        <v>#REF!</v>
      </c>
      <c r="S37" s="37" t="e">
        <f>IF(AND('Mapa final'!#REF!="Baja",'Mapa final'!#REF!="Menor"),CONCATENATE("R2C",'Mapa final'!#REF!),"")</f>
        <v>#REF!</v>
      </c>
      <c r="T37" s="37" t="str">
        <f>IF(AND('Mapa final'!$Y$22="Baja",'Mapa final'!$AA$22="Menor"),CONCATENATE("R2C",'Mapa final'!$O$22),"")</f>
        <v/>
      </c>
      <c r="U37" s="38" t="str">
        <f>IF(AND('Mapa final'!$Y$23="Baja",'Mapa final'!$AA$23="Menor"),CONCATENATE("R2C",'Mapa final'!$O$23),"")</f>
        <v/>
      </c>
      <c r="V37" s="36" t="str">
        <f>IF(AND('Mapa final'!$Y$21="Baja",'Mapa final'!$AA$21="Moderado"),CONCATENATE("R2C",'Mapa final'!$O$21),"")</f>
        <v>R2C1</v>
      </c>
      <c r="W37" s="37" t="e">
        <f>IF(AND('Mapa final'!#REF!="Baja",'Mapa final'!#REF!="Moderado"),CONCATENATE("R2C",'Mapa final'!#REF!),"")</f>
        <v>#REF!</v>
      </c>
      <c r="X37" s="37" t="e">
        <f>IF(AND('Mapa final'!#REF!="Baja",'Mapa final'!#REF!="Moderado"),CONCATENATE("R2C",'Mapa final'!#REF!),"")</f>
        <v>#REF!</v>
      </c>
      <c r="Y37" s="37" t="e">
        <f>IF(AND('Mapa final'!#REF!="Baja",'Mapa final'!#REF!="Moderado"),CONCATENATE("R2C",'Mapa final'!#REF!),"")</f>
        <v>#REF!</v>
      </c>
      <c r="Z37" s="37" t="str">
        <f>IF(AND('Mapa final'!$Y$22="Baja",'Mapa final'!$AA$22="Moderado"),CONCATENATE("R2C",'Mapa final'!$O$22),"")</f>
        <v/>
      </c>
      <c r="AA37" s="38" t="str">
        <f>IF(AND('Mapa final'!$Y$23="Baja",'Mapa final'!$AA$23="Moderado"),CONCATENATE("R2C",'Mapa final'!$O$23),"")</f>
        <v/>
      </c>
      <c r="AB37" s="21" t="str">
        <f>IF(AND('Mapa final'!$Y$21="Baja",'Mapa final'!$AA$21="Mayor"),CONCATENATE("R2C",'Mapa final'!$O$21),"")</f>
        <v/>
      </c>
      <c r="AC37" s="22" t="e">
        <f>IF(AND('Mapa final'!#REF!="Baja",'Mapa final'!#REF!="Mayor"),CONCATENATE("R2C",'Mapa final'!#REF!),"")</f>
        <v>#REF!</v>
      </c>
      <c r="AD37" s="22" t="e">
        <f>IF(AND('Mapa final'!#REF!="Baja",'Mapa final'!#REF!="Mayor"),CONCATENATE("R2C",'Mapa final'!#REF!),"")</f>
        <v>#REF!</v>
      </c>
      <c r="AE37" s="22" t="e">
        <f>IF(AND('Mapa final'!#REF!="Baja",'Mapa final'!#REF!="Mayor"),CONCATENATE("R2C",'Mapa final'!#REF!),"")</f>
        <v>#REF!</v>
      </c>
      <c r="AF37" s="22" t="str">
        <f>IF(AND('Mapa final'!$Y$22="Baja",'Mapa final'!$AA$22="Mayor"),CONCATENATE("R2C",'Mapa final'!$O$22),"")</f>
        <v/>
      </c>
      <c r="AG37" s="23" t="str">
        <f>IF(AND('Mapa final'!$Y$23="Baja",'Mapa final'!$AA$23="Mayor"),CONCATENATE("R2C",'Mapa final'!$O$23),"")</f>
        <v/>
      </c>
      <c r="AH37" s="24" t="str">
        <f>IF(AND('Mapa final'!$Y$21="Baja",'Mapa final'!$AA$21="Catastrófico"),CONCATENATE("R2C",'Mapa final'!$O$21),"")</f>
        <v/>
      </c>
      <c r="AI37" s="25" t="e">
        <f>IF(AND('Mapa final'!#REF!="Baja",'Mapa final'!#REF!="Catastrófico"),CONCATENATE("R2C",'Mapa final'!#REF!),"")</f>
        <v>#REF!</v>
      </c>
      <c r="AJ37" s="25" t="e">
        <f>IF(AND('Mapa final'!#REF!="Baja",'Mapa final'!#REF!="Catastrófico"),CONCATENATE("R2C",'Mapa final'!#REF!),"")</f>
        <v>#REF!</v>
      </c>
      <c r="AK37" s="25" t="e">
        <f>IF(AND('Mapa final'!#REF!="Baja",'Mapa final'!#REF!="Catastrófico"),CONCATENATE("R2C",'Mapa final'!#REF!),"")</f>
        <v>#REF!</v>
      </c>
      <c r="AL37" s="25" t="str">
        <f>IF(AND('Mapa final'!$Y$22="Baja",'Mapa final'!$AA$22="Catastrófico"),CONCATENATE("R2C",'Mapa final'!$O$22),"")</f>
        <v/>
      </c>
      <c r="AM37" s="26" t="str">
        <f>IF(AND('Mapa final'!$Y$23="Baja",'Mapa final'!$AA$23="Catastrófico"),CONCATENATE("R2C",'Mapa final'!$O$23),"")</f>
        <v/>
      </c>
      <c r="AN37" s="1"/>
      <c r="AO37" s="272"/>
      <c r="AP37" s="218"/>
      <c r="AQ37" s="218"/>
      <c r="AR37" s="218"/>
      <c r="AS37" s="218"/>
      <c r="AT37" s="273"/>
    </row>
    <row r="38" spans="2:46" ht="15" customHeight="1" x14ac:dyDescent="0.35">
      <c r="B38" s="263"/>
      <c r="C38" s="218"/>
      <c r="D38" s="219"/>
      <c r="E38" s="230"/>
      <c r="F38" s="218"/>
      <c r="G38" s="218"/>
      <c r="H38" s="218"/>
      <c r="I38" s="218"/>
      <c r="J38" s="45" t="str">
        <f>IF(AND('Mapa final'!$Y$26="Baja",'Mapa final'!$AA$26="Leve"),CONCATENATE("R3C",'Mapa final'!$O$26),"")</f>
        <v/>
      </c>
      <c r="K38" s="46" t="str">
        <f>IF(AND('Mapa final'!$Y$27="Baja",'Mapa final'!$AA$27="Leve"),CONCATENATE("R3C",'Mapa final'!$O$27),"")</f>
        <v/>
      </c>
      <c r="L38" s="46" t="str">
        <f>IF(AND('Mapa final'!$Y$28="Baja",'Mapa final'!$AA$28="Leve"),CONCATENATE("R3C",'Mapa final'!$O$28),"")</f>
        <v/>
      </c>
      <c r="M38" s="46" t="e">
        <f>IF(AND('Mapa final'!#REF!="Baja",'Mapa final'!#REF!="Leve"),CONCATENATE("R3C",'Mapa final'!#REF!),"")</f>
        <v>#REF!</v>
      </c>
      <c r="N38" s="46" t="e">
        <f>IF(AND('Mapa final'!#REF!="Baja",'Mapa final'!#REF!="Leve"),CONCATENATE("R3C",'Mapa final'!#REF!),"")</f>
        <v>#REF!</v>
      </c>
      <c r="O38" s="47" t="e">
        <f>IF(AND('Mapa final'!#REF!="Baja",'Mapa final'!#REF!="Leve"),CONCATENATE("R3C",'Mapa final'!#REF!),"")</f>
        <v>#REF!</v>
      </c>
      <c r="P38" s="36" t="str">
        <f>IF(AND('Mapa final'!$Y$26="Baja",'Mapa final'!$AA$26="Menor"),CONCATENATE("R3C",'Mapa final'!$O$26),"")</f>
        <v/>
      </c>
      <c r="Q38" s="37" t="str">
        <f>IF(AND('Mapa final'!$Y$27="Baja",'Mapa final'!$AA$27="Menor"),CONCATENATE("R3C",'Mapa final'!$O$27),"")</f>
        <v/>
      </c>
      <c r="R38" s="37" t="str">
        <f>IF(AND('Mapa final'!$Y$28="Baja",'Mapa final'!$AA$28="Menor"),CONCATENATE("R3C",'Mapa final'!$O$28),"")</f>
        <v/>
      </c>
      <c r="S38" s="37" t="e">
        <f>IF(AND('Mapa final'!#REF!="Baja",'Mapa final'!#REF!="Menor"),CONCATENATE("R3C",'Mapa final'!#REF!),"")</f>
        <v>#REF!</v>
      </c>
      <c r="T38" s="37" t="e">
        <f>IF(AND('Mapa final'!#REF!="Baja",'Mapa final'!#REF!="Menor"),CONCATENATE("R3C",'Mapa final'!#REF!),"")</f>
        <v>#REF!</v>
      </c>
      <c r="U38" s="38" t="e">
        <f>IF(AND('Mapa final'!#REF!="Baja",'Mapa final'!#REF!="Menor"),CONCATENATE("R3C",'Mapa final'!#REF!),"")</f>
        <v>#REF!</v>
      </c>
      <c r="V38" s="36" t="str">
        <f>IF(AND('Mapa final'!$Y$26="Baja",'Mapa final'!$AA$26="Moderado"),CONCATENATE("R3C",'Mapa final'!$O$26),"")</f>
        <v>R3C1</v>
      </c>
      <c r="W38" s="37" t="str">
        <f>IF(AND('Mapa final'!$Y$27="Baja",'Mapa final'!$AA$27="Moderado"),CONCATENATE("R3C",'Mapa final'!$O$27),"")</f>
        <v/>
      </c>
      <c r="X38" s="37" t="str">
        <f>IF(AND('Mapa final'!$Y$28="Baja",'Mapa final'!$AA$28="Moderado"),CONCATENATE("R3C",'Mapa final'!$O$28),"")</f>
        <v/>
      </c>
      <c r="Y38" s="37" t="e">
        <f>IF(AND('Mapa final'!#REF!="Baja",'Mapa final'!#REF!="Moderado"),CONCATENATE("R3C",'Mapa final'!#REF!),"")</f>
        <v>#REF!</v>
      </c>
      <c r="Z38" s="37" t="e">
        <f>IF(AND('Mapa final'!#REF!="Baja",'Mapa final'!#REF!="Moderado"),CONCATENATE("R3C",'Mapa final'!#REF!),"")</f>
        <v>#REF!</v>
      </c>
      <c r="AA38" s="38" t="e">
        <f>IF(AND('Mapa final'!#REF!="Baja",'Mapa final'!#REF!="Moderado"),CONCATENATE("R3C",'Mapa final'!#REF!),"")</f>
        <v>#REF!</v>
      </c>
      <c r="AB38" s="21" t="str">
        <f>IF(AND('Mapa final'!$Y$26="Baja",'Mapa final'!$AA$26="Mayor"),CONCATENATE("R3C",'Mapa final'!$O$26),"")</f>
        <v/>
      </c>
      <c r="AC38" s="22" t="str">
        <f>IF(AND('Mapa final'!$Y$27="Baja",'Mapa final'!$AA$27="Mayor"),CONCATENATE("R3C",'Mapa final'!$O$27),"")</f>
        <v/>
      </c>
      <c r="AD38" s="22" t="str">
        <f>IF(AND('Mapa final'!$Y$28="Baja",'Mapa final'!$AA$28="Mayor"),CONCATENATE("R3C",'Mapa final'!$O$28),"")</f>
        <v/>
      </c>
      <c r="AE38" s="22" t="e">
        <f>IF(AND('Mapa final'!#REF!="Baja",'Mapa final'!#REF!="Mayor"),CONCATENATE("R3C",'Mapa final'!#REF!),"")</f>
        <v>#REF!</v>
      </c>
      <c r="AF38" s="22" t="e">
        <f>IF(AND('Mapa final'!#REF!="Baja",'Mapa final'!#REF!="Mayor"),CONCATENATE("R3C",'Mapa final'!#REF!),"")</f>
        <v>#REF!</v>
      </c>
      <c r="AG38" s="23" t="e">
        <f>IF(AND('Mapa final'!#REF!="Baja",'Mapa final'!#REF!="Mayor"),CONCATENATE("R3C",'Mapa final'!#REF!),"")</f>
        <v>#REF!</v>
      </c>
      <c r="AH38" s="24" t="str">
        <f>IF(AND('Mapa final'!$Y$26="Baja",'Mapa final'!$AA$26="Catastrófico"),CONCATENATE("R3C",'Mapa final'!$O$26),"")</f>
        <v/>
      </c>
      <c r="AI38" s="25" t="str">
        <f>IF(AND('Mapa final'!$Y$27="Baja",'Mapa final'!$AA$27="Catastrófico"),CONCATENATE("R3C",'Mapa final'!$O$27),"")</f>
        <v/>
      </c>
      <c r="AJ38" s="25" t="str">
        <f>IF(AND('Mapa final'!$Y$28="Baja",'Mapa final'!$AA$28="Catastrófico"),CONCATENATE("R3C",'Mapa final'!$O$28),"")</f>
        <v/>
      </c>
      <c r="AK38" s="25" t="e">
        <f>IF(AND('Mapa final'!#REF!="Baja",'Mapa final'!#REF!="Catastrófico"),CONCATENATE("R3C",'Mapa final'!#REF!),"")</f>
        <v>#REF!</v>
      </c>
      <c r="AL38" s="25" t="e">
        <f>IF(AND('Mapa final'!#REF!="Baja",'Mapa final'!#REF!="Catastrófico"),CONCATENATE("R3C",'Mapa final'!#REF!),"")</f>
        <v>#REF!</v>
      </c>
      <c r="AM38" s="26" t="e">
        <f>IF(AND('Mapa final'!#REF!="Baja",'Mapa final'!#REF!="Catastrófico"),CONCATENATE("R3C",'Mapa final'!#REF!),"")</f>
        <v>#REF!</v>
      </c>
      <c r="AN38" s="1"/>
      <c r="AO38" s="272"/>
      <c r="AP38" s="218"/>
      <c r="AQ38" s="218"/>
      <c r="AR38" s="218"/>
      <c r="AS38" s="218"/>
      <c r="AT38" s="273"/>
    </row>
    <row r="39" spans="2:46" ht="15" customHeight="1" x14ac:dyDescent="0.35">
      <c r="B39" s="263"/>
      <c r="C39" s="218"/>
      <c r="D39" s="219"/>
      <c r="E39" s="230"/>
      <c r="F39" s="218"/>
      <c r="G39" s="218"/>
      <c r="H39" s="218"/>
      <c r="I39" s="218"/>
      <c r="J39" s="45" t="str">
        <f>IF(AND('Mapa final'!$Y$31="Baja",'Mapa final'!$AA$31="Leve"),CONCATENATE("R4C",'Mapa final'!$O$31),"")</f>
        <v/>
      </c>
      <c r="K39" s="46" t="str">
        <f>IF(AND('Mapa final'!$Y$32="Baja",'Mapa final'!$AA$32="Leve"),CONCATENATE("R4C",'Mapa final'!$O$32),"")</f>
        <v/>
      </c>
      <c r="L39" s="46" t="e">
        <f>IF(AND('Mapa final'!#REF!="Baja",'Mapa final'!#REF!="Leve"),CONCATENATE("R4C",'Mapa final'!#REF!),"")</f>
        <v>#REF!</v>
      </c>
      <c r="M39" s="46" t="str">
        <f>IF(AND('Mapa final'!$Y$33="Baja",'Mapa final'!$AA$33="Leve"),CONCATENATE("R4C",'Mapa final'!$O$33),"")</f>
        <v/>
      </c>
      <c r="N39" s="46" t="e">
        <f>IF(AND('Mapa final'!#REF!="Baja",'Mapa final'!#REF!="Leve"),CONCATENATE("R4C",'Mapa final'!#REF!),"")</f>
        <v>#REF!</v>
      </c>
      <c r="O39" s="47" t="e">
        <f>IF(AND('Mapa final'!#REF!="Baja",'Mapa final'!#REF!="Leve"),CONCATENATE("R4C",'Mapa final'!#REF!),"")</f>
        <v>#REF!</v>
      </c>
      <c r="P39" s="36" t="str">
        <f>IF(AND('Mapa final'!$Y$31="Baja",'Mapa final'!$AA$31="Menor"),CONCATENATE("R4C",'Mapa final'!$O$31),"")</f>
        <v/>
      </c>
      <c r="Q39" s="37" t="str">
        <f>IF(AND('Mapa final'!$Y$32="Baja",'Mapa final'!$AA$32="Menor"),CONCATENATE("R4C",'Mapa final'!$O$32),"")</f>
        <v/>
      </c>
      <c r="R39" s="37" t="e">
        <f>IF(AND('Mapa final'!#REF!="Baja",'Mapa final'!#REF!="Menor"),CONCATENATE("R4C",'Mapa final'!#REF!),"")</f>
        <v>#REF!</v>
      </c>
      <c r="S39" s="37" t="str">
        <f>IF(AND('Mapa final'!$Y$33="Baja",'Mapa final'!$AA$33="Menor"),CONCATENATE("R4C",'Mapa final'!$O$33),"")</f>
        <v/>
      </c>
      <c r="T39" s="37" t="e">
        <f>IF(AND('Mapa final'!#REF!="Baja",'Mapa final'!#REF!="Menor"),CONCATENATE("R4C",'Mapa final'!#REF!),"")</f>
        <v>#REF!</v>
      </c>
      <c r="U39" s="38" t="e">
        <f>IF(AND('Mapa final'!#REF!="Baja",'Mapa final'!#REF!="Menor"),CONCATENATE("R4C",'Mapa final'!#REF!),"")</f>
        <v>#REF!</v>
      </c>
      <c r="V39" s="36" t="str">
        <f>IF(AND('Mapa final'!$Y$31="Baja",'Mapa final'!$AA$31="Moderado"),CONCATENATE("R4C",'Mapa final'!$O$31),"")</f>
        <v/>
      </c>
      <c r="W39" s="37" t="str">
        <f>IF(AND('Mapa final'!$Y$32="Baja",'Mapa final'!$AA$32="Moderado"),CONCATENATE("R4C",'Mapa final'!$O$32),"")</f>
        <v/>
      </c>
      <c r="X39" s="37" t="e">
        <f>IF(AND('Mapa final'!#REF!="Baja",'Mapa final'!#REF!="Moderado"),CONCATENATE("R4C",'Mapa final'!#REF!),"")</f>
        <v>#REF!</v>
      </c>
      <c r="Y39" s="37" t="str">
        <f>IF(AND('Mapa final'!$Y$33="Baja",'Mapa final'!$AA$33="Moderado"),CONCATENATE("R4C",'Mapa final'!$O$33),"")</f>
        <v/>
      </c>
      <c r="Z39" s="37" t="e">
        <f>IF(AND('Mapa final'!#REF!="Baja",'Mapa final'!#REF!="Moderado"),CONCATENATE("R4C",'Mapa final'!#REF!),"")</f>
        <v>#REF!</v>
      </c>
      <c r="AA39" s="38" t="e">
        <f>IF(AND('Mapa final'!#REF!="Baja",'Mapa final'!#REF!="Moderado"),CONCATENATE("R4C",'Mapa final'!#REF!),"")</f>
        <v>#REF!</v>
      </c>
      <c r="AB39" s="21" t="str">
        <f>IF(AND('Mapa final'!$Y$31="Baja",'Mapa final'!$AA$31="Mayor"),CONCATENATE("R4C",'Mapa final'!$O$31),"")</f>
        <v/>
      </c>
      <c r="AC39" s="22" t="str">
        <f>IF(AND('Mapa final'!$Y$32="Baja",'Mapa final'!$AA$32="Mayor"),CONCATENATE("R4C",'Mapa final'!$O$32),"")</f>
        <v/>
      </c>
      <c r="AD39" s="22" t="e">
        <f>IF(AND('Mapa final'!#REF!="Baja",'Mapa final'!#REF!="Mayor"),CONCATENATE("R4C",'Mapa final'!#REF!),"")</f>
        <v>#REF!</v>
      </c>
      <c r="AE39" s="22" t="str">
        <f>IF(AND('Mapa final'!$Y$33="Baja",'Mapa final'!$AA$33="Mayor"),CONCATENATE("R4C",'Mapa final'!$O$33),"")</f>
        <v/>
      </c>
      <c r="AF39" s="22" t="e">
        <f>IF(AND('Mapa final'!#REF!="Baja",'Mapa final'!#REF!="Mayor"),CONCATENATE("R4C",'Mapa final'!#REF!),"")</f>
        <v>#REF!</v>
      </c>
      <c r="AG39" s="23" t="e">
        <f>IF(AND('Mapa final'!#REF!="Baja",'Mapa final'!#REF!="Mayor"),CONCATENATE("R4C",'Mapa final'!#REF!),"")</f>
        <v>#REF!</v>
      </c>
      <c r="AH39" s="24" t="str">
        <f>IF(AND('Mapa final'!$Y$31="Baja",'Mapa final'!$AA$31="Catastrófico"),CONCATENATE("R4C",'Mapa final'!$O$31),"")</f>
        <v/>
      </c>
      <c r="AI39" s="25" t="str">
        <f>IF(AND('Mapa final'!$Y$32="Baja",'Mapa final'!$AA$32="Catastrófico"),CONCATENATE("R4C",'Mapa final'!$O$32),"")</f>
        <v/>
      </c>
      <c r="AJ39" s="25" t="e">
        <f>IF(AND('Mapa final'!#REF!="Baja",'Mapa final'!#REF!="Catastrófico"),CONCATENATE("R4C",'Mapa final'!#REF!),"")</f>
        <v>#REF!</v>
      </c>
      <c r="AK39" s="25" t="str">
        <f>IF(AND('Mapa final'!$Y$33="Baja",'Mapa final'!$AA$33="Catastrófico"),CONCATENATE("R4C",'Mapa final'!$O$33),"")</f>
        <v/>
      </c>
      <c r="AL39" s="25" t="e">
        <f>IF(AND('Mapa final'!#REF!="Baja",'Mapa final'!#REF!="Catastrófico"),CONCATENATE("R4C",'Mapa final'!#REF!),"")</f>
        <v>#REF!</v>
      </c>
      <c r="AM39" s="26" t="e">
        <f>IF(AND('Mapa final'!#REF!="Baja",'Mapa final'!#REF!="Catastrófico"),CONCATENATE("R4C",'Mapa final'!#REF!),"")</f>
        <v>#REF!</v>
      </c>
      <c r="AN39" s="1"/>
      <c r="AO39" s="272"/>
      <c r="AP39" s="218"/>
      <c r="AQ39" s="218"/>
      <c r="AR39" s="218"/>
      <c r="AS39" s="218"/>
      <c r="AT39" s="273"/>
    </row>
    <row r="40" spans="2:46" ht="15" customHeight="1" x14ac:dyDescent="0.35">
      <c r="B40" s="263"/>
      <c r="C40" s="218"/>
      <c r="D40" s="219"/>
      <c r="E40" s="230"/>
      <c r="F40" s="218"/>
      <c r="G40" s="218"/>
      <c r="H40" s="218"/>
      <c r="I40" s="218"/>
      <c r="J40" s="45" t="str">
        <f>IF(AND('Mapa final'!$Y$36="Baja",'Mapa final'!$AA$36="Leve"),CONCATENATE("R5C",'Mapa final'!$O$36),"")</f>
        <v/>
      </c>
      <c r="K40" s="46" t="str">
        <f>IF(AND('Mapa final'!$Y$37="Baja",'Mapa final'!$AA$37="Leve"),CONCATENATE("R5C",'Mapa final'!$O$37),"")</f>
        <v/>
      </c>
      <c r="L40" s="46" t="str">
        <f>IF(AND('Mapa final'!$Y$38="Baja",'Mapa final'!$AA$38="Leve"),CONCATENATE("R5C",'Mapa final'!$O$38),"")</f>
        <v/>
      </c>
      <c r="M40" s="46" t="e">
        <f>IF(AND('Mapa final'!#REF!="Baja",'Mapa final'!#REF!="Leve"),CONCATENATE("R5C",'Mapa final'!#REF!),"")</f>
        <v>#REF!</v>
      </c>
      <c r="N40" s="46" t="e">
        <f>IF(AND('Mapa final'!#REF!="Baja",'Mapa final'!#REF!="Leve"),CONCATENATE("R5C",'Mapa final'!#REF!),"")</f>
        <v>#REF!</v>
      </c>
      <c r="O40" s="47" t="e">
        <f>IF(AND('Mapa final'!#REF!="Baja",'Mapa final'!#REF!="Leve"),CONCATENATE("R5C",'Mapa final'!#REF!),"")</f>
        <v>#REF!</v>
      </c>
      <c r="P40" s="36" t="str">
        <f>IF(AND('Mapa final'!$Y$36="Baja",'Mapa final'!$AA$36="Menor"),CONCATENATE("R5C",'Mapa final'!$O$36),"")</f>
        <v/>
      </c>
      <c r="Q40" s="37" t="str">
        <f>IF(AND('Mapa final'!$Y$37="Baja",'Mapa final'!$AA$37="Menor"),CONCATENATE("R5C",'Mapa final'!$O$37),"")</f>
        <v/>
      </c>
      <c r="R40" s="37" t="str">
        <f>IF(AND('Mapa final'!$Y$38="Baja",'Mapa final'!$AA$38="Menor"),CONCATENATE("R5C",'Mapa final'!$O$38),"")</f>
        <v/>
      </c>
      <c r="S40" s="37" t="e">
        <f>IF(AND('Mapa final'!#REF!="Baja",'Mapa final'!#REF!="Menor"),CONCATENATE("R5C",'Mapa final'!#REF!),"")</f>
        <v>#REF!</v>
      </c>
      <c r="T40" s="37" t="e">
        <f>IF(AND('Mapa final'!#REF!="Baja",'Mapa final'!#REF!="Menor"),CONCATENATE("R5C",'Mapa final'!#REF!),"")</f>
        <v>#REF!</v>
      </c>
      <c r="U40" s="38" t="e">
        <f>IF(AND('Mapa final'!#REF!="Baja",'Mapa final'!#REF!="Menor"),CONCATENATE("R5C",'Mapa final'!#REF!),"")</f>
        <v>#REF!</v>
      </c>
      <c r="V40" s="36" t="str">
        <f>IF(AND('Mapa final'!$Y$36="Baja",'Mapa final'!$AA$36="Moderado"),CONCATENATE("R5C",'Mapa final'!$O$36),"")</f>
        <v/>
      </c>
      <c r="W40" s="37" t="str">
        <f>IF(AND('Mapa final'!$Y$37="Baja",'Mapa final'!$AA$37="Moderado"),CONCATENATE("R5C",'Mapa final'!$O$37),"")</f>
        <v/>
      </c>
      <c r="X40" s="37" t="str">
        <f>IF(AND('Mapa final'!$Y$38="Baja",'Mapa final'!$AA$38="Moderado"),CONCATENATE("R5C",'Mapa final'!$O$38),"")</f>
        <v/>
      </c>
      <c r="Y40" s="37" t="e">
        <f>IF(AND('Mapa final'!#REF!="Baja",'Mapa final'!#REF!="Moderado"),CONCATENATE("R5C",'Mapa final'!#REF!),"")</f>
        <v>#REF!</v>
      </c>
      <c r="Z40" s="37" t="e">
        <f>IF(AND('Mapa final'!#REF!="Baja",'Mapa final'!#REF!="Moderado"),CONCATENATE("R5C",'Mapa final'!#REF!),"")</f>
        <v>#REF!</v>
      </c>
      <c r="AA40" s="38" t="e">
        <f>IF(AND('Mapa final'!#REF!="Baja",'Mapa final'!#REF!="Moderado"),CONCATENATE("R5C",'Mapa final'!#REF!),"")</f>
        <v>#REF!</v>
      </c>
      <c r="AB40" s="21" t="str">
        <f>IF(AND('Mapa final'!$Y$36="Baja",'Mapa final'!$AA$36="Mayor"),CONCATENATE("R5C",'Mapa final'!$O$36),"")</f>
        <v/>
      </c>
      <c r="AC40" s="22" t="str">
        <f>IF(AND('Mapa final'!$Y$37="Baja",'Mapa final'!$AA$37="Mayor"),CONCATENATE("R5C",'Mapa final'!$O$37),"")</f>
        <v/>
      </c>
      <c r="AD40" s="22" t="str">
        <f>IF(AND('Mapa final'!$Y$38="Baja",'Mapa final'!$AA$38="Mayor"),CONCATENATE("R5C",'Mapa final'!$O$38),"")</f>
        <v/>
      </c>
      <c r="AE40" s="22" t="e">
        <f>IF(AND('Mapa final'!#REF!="Baja",'Mapa final'!#REF!="Mayor"),CONCATENATE("R5C",'Mapa final'!#REF!),"")</f>
        <v>#REF!</v>
      </c>
      <c r="AF40" s="22" t="e">
        <f>IF(AND('Mapa final'!#REF!="Baja",'Mapa final'!#REF!="Mayor"),CONCATENATE("R5C",'Mapa final'!#REF!),"")</f>
        <v>#REF!</v>
      </c>
      <c r="AG40" s="23" t="e">
        <f>IF(AND('Mapa final'!#REF!="Baja",'Mapa final'!#REF!="Mayor"),CONCATENATE("R5C",'Mapa final'!#REF!),"")</f>
        <v>#REF!</v>
      </c>
      <c r="AH40" s="24" t="str">
        <f>IF(AND('Mapa final'!$Y$36="Baja",'Mapa final'!$AA$36="Catastrófico"),CONCATENATE("R5C",'Mapa final'!$O$36),"")</f>
        <v/>
      </c>
      <c r="AI40" s="25" t="str">
        <f>IF(AND('Mapa final'!$Y$37="Baja",'Mapa final'!$AA$37="Catastrófico"),CONCATENATE("R5C",'Mapa final'!$O$37),"")</f>
        <v/>
      </c>
      <c r="AJ40" s="25" t="str">
        <f>IF(AND('Mapa final'!$Y$38="Baja",'Mapa final'!$AA$38="Catastrófico"),CONCATENATE("R5C",'Mapa final'!$O$38),"")</f>
        <v/>
      </c>
      <c r="AK40" s="25" t="e">
        <f>IF(AND('Mapa final'!#REF!="Baja",'Mapa final'!#REF!="Catastrófico"),CONCATENATE("R5C",'Mapa final'!#REF!),"")</f>
        <v>#REF!</v>
      </c>
      <c r="AL40" s="25" t="e">
        <f>IF(AND('Mapa final'!#REF!="Baja",'Mapa final'!#REF!="Catastrófico"),CONCATENATE("R5C",'Mapa final'!#REF!),"")</f>
        <v>#REF!</v>
      </c>
      <c r="AM40" s="26" t="e">
        <f>IF(AND('Mapa final'!#REF!="Baja",'Mapa final'!#REF!="Catastrófico"),CONCATENATE("R5C",'Mapa final'!#REF!),"")</f>
        <v>#REF!</v>
      </c>
      <c r="AN40" s="1"/>
      <c r="AO40" s="272"/>
      <c r="AP40" s="218"/>
      <c r="AQ40" s="218"/>
      <c r="AR40" s="218"/>
      <c r="AS40" s="218"/>
      <c r="AT40" s="273"/>
    </row>
    <row r="41" spans="2:46" ht="15" customHeight="1" x14ac:dyDescent="0.35">
      <c r="B41" s="263"/>
      <c r="C41" s="218"/>
      <c r="D41" s="219"/>
      <c r="E41" s="230"/>
      <c r="F41" s="218"/>
      <c r="G41" s="218"/>
      <c r="H41" s="218"/>
      <c r="I41" s="218"/>
      <c r="J41" s="45" t="str">
        <f>IF(AND('Mapa final'!$Y$41="Baja",'Mapa final'!$AA$41="Leve"),CONCATENATE("R6C",'Mapa final'!$O$41),"")</f>
        <v/>
      </c>
      <c r="K41" s="46" t="str">
        <f>IF(AND('Mapa final'!$Y$42="Baja",'Mapa final'!$AA$42="Leve"),CONCATENATE("R6C",'Mapa final'!$O$42),"")</f>
        <v/>
      </c>
      <c r="L41" s="46" t="str">
        <f>IF(AND('Mapa final'!$Y$43="Baja",'Mapa final'!$AA$43="Leve"),CONCATENATE("R6C",'Mapa final'!$O$43),"")</f>
        <v/>
      </c>
      <c r="M41" s="46" t="e">
        <f>IF(AND('Mapa final'!#REF!="Baja",'Mapa final'!#REF!="Leve"),CONCATENATE("R6C",'Mapa final'!#REF!),"")</f>
        <v>#REF!</v>
      </c>
      <c r="N41" s="46" t="e">
        <f>IF(AND('Mapa final'!#REF!="Baja",'Mapa final'!#REF!="Leve"),CONCATENATE("R6C",'Mapa final'!#REF!),"")</f>
        <v>#REF!</v>
      </c>
      <c r="O41" s="47" t="e">
        <f>IF(AND('Mapa final'!#REF!="Baja",'Mapa final'!#REF!="Leve"),CONCATENATE("R6C",'Mapa final'!#REF!),"")</f>
        <v>#REF!</v>
      </c>
      <c r="P41" s="36" t="str">
        <f>IF(AND('Mapa final'!$Y$41="Baja",'Mapa final'!$AA$41="Menor"),CONCATENATE("R6C",'Mapa final'!$O$41),"")</f>
        <v/>
      </c>
      <c r="Q41" s="37" t="str">
        <f>IF(AND('Mapa final'!$Y$42="Baja",'Mapa final'!$AA$42="Menor"),CONCATENATE("R6C",'Mapa final'!$O$42),"")</f>
        <v/>
      </c>
      <c r="R41" s="37" t="str">
        <f>IF(AND('Mapa final'!$Y$43="Baja",'Mapa final'!$AA$43="Menor"),CONCATENATE("R6C",'Mapa final'!$O$43),"")</f>
        <v/>
      </c>
      <c r="S41" s="37" t="e">
        <f>IF(AND('Mapa final'!#REF!="Baja",'Mapa final'!#REF!="Menor"),CONCATENATE("R6C",'Mapa final'!#REF!),"")</f>
        <v>#REF!</v>
      </c>
      <c r="T41" s="37" t="e">
        <f>IF(AND('Mapa final'!#REF!="Baja",'Mapa final'!#REF!="Menor"),CONCATENATE("R6C",'Mapa final'!#REF!),"")</f>
        <v>#REF!</v>
      </c>
      <c r="U41" s="38" t="e">
        <f>IF(AND('Mapa final'!#REF!="Baja",'Mapa final'!#REF!="Menor"),CONCATENATE("R6C",'Mapa final'!#REF!),"")</f>
        <v>#REF!</v>
      </c>
      <c r="V41" s="36" t="str">
        <f>IF(AND('Mapa final'!$Y$41="Baja",'Mapa final'!$AA$41="Moderado"),CONCATENATE("R6C",'Mapa final'!$O$41),"")</f>
        <v/>
      </c>
      <c r="W41" s="37" t="str">
        <f>IF(AND('Mapa final'!$Y$42="Baja",'Mapa final'!$AA$42="Moderado"),CONCATENATE("R6C",'Mapa final'!$O$42),"")</f>
        <v/>
      </c>
      <c r="X41" s="37" t="str">
        <f>IF(AND('Mapa final'!$Y$43="Baja",'Mapa final'!$AA$43="Moderado"),CONCATENATE("R6C",'Mapa final'!$O$43),"")</f>
        <v/>
      </c>
      <c r="Y41" s="37" t="e">
        <f>IF(AND('Mapa final'!#REF!="Baja",'Mapa final'!#REF!="Moderado"),CONCATENATE("R6C",'Mapa final'!#REF!),"")</f>
        <v>#REF!</v>
      </c>
      <c r="Z41" s="37" t="e">
        <f>IF(AND('Mapa final'!#REF!="Baja",'Mapa final'!#REF!="Moderado"),CONCATENATE("R6C",'Mapa final'!#REF!),"")</f>
        <v>#REF!</v>
      </c>
      <c r="AA41" s="38" t="e">
        <f>IF(AND('Mapa final'!#REF!="Baja",'Mapa final'!#REF!="Moderado"),CONCATENATE("R6C",'Mapa final'!#REF!),"")</f>
        <v>#REF!</v>
      </c>
      <c r="AB41" s="21" t="str">
        <f>IF(AND('Mapa final'!$Y$41="Baja",'Mapa final'!$AA$41="Mayor"),CONCATENATE("R6C",'Mapa final'!$O$41),"")</f>
        <v/>
      </c>
      <c r="AC41" s="22" t="str">
        <f>IF(AND('Mapa final'!$Y$42="Baja",'Mapa final'!$AA$42="Mayor"),CONCATENATE("R6C",'Mapa final'!$O$42),"")</f>
        <v/>
      </c>
      <c r="AD41" s="22" t="str">
        <f>IF(AND('Mapa final'!$Y$43="Baja",'Mapa final'!$AA$43="Mayor"),CONCATENATE("R6C",'Mapa final'!$O$43),"")</f>
        <v/>
      </c>
      <c r="AE41" s="22" t="e">
        <f>IF(AND('Mapa final'!#REF!="Baja",'Mapa final'!#REF!="Mayor"),CONCATENATE("R6C",'Mapa final'!#REF!),"")</f>
        <v>#REF!</v>
      </c>
      <c r="AF41" s="22" t="e">
        <f>IF(AND('Mapa final'!#REF!="Baja",'Mapa final'!#REF!="Mayor"),CONCATENATE("R6C",'Mapa final'!#REF!),"")</f>
        <v>#REF!</v>
      </c>
      <c r="AG41" s="23" t="e">
        <f>IF(AND('Mapa final'!#REF!="Baja",'Mapa final'!#REF!="Mayor"),CONCATENATE("R6C",'Mapa final'!#REF!),"")</f>
        <v>#REF!</v>
      </c>
      <c r="AH41" s="24" t="str">
        <f>IF(AND('Mapa final'!$Y$41="Baja",'Mapa final'!$AA$41="Catastrófico"),CONCATENATE("R6C",'Mapa final'!$O$41),"")</f>
        <v/>
      </c>
      <c r="AI41" s="25" t="str">
        <f>IF(AND('Mapa final'!$Y$42="Baja",'Mapa final'!$AA$42="Catastrófico"),CONCATENATE("R6C",'Mapa final'!$O$42),"")</f>
        <v/>
      </c>
      <c r="AJ41" s="25" t="str">
        <f>IF(AND('Mapa final'!$Y$43="Baja",'Mapa final'!$AA$43="Catastrófico"),CONCATENATE("R6C",'Mapa final'!$O$43),"")</f>
        <v/>
      </c>
      <c r="AK41" s="25" t="e">
        <f>IF(AND('Mapa final'!#REF!="Baja",'Mapa final'!#REF!="Catastrófico"),CONCATENATE("R6C",'Mapa final'!#REF!),"")</f>
        <v>#REF!</v>
      </c>
      <c r="AL41" s="25" t="e">
        <f>IF(AND('Mapa final'!#REF!="Baja",'Mapa final'!#REF!="Catastrófico"),CONCATENATE("R6C",'Mapa final'!#REF!),"")</f>
        <v>#REF!</v>
      </c>
      <c r="AM41" s="26" t="e">
        <f>IF(AND('Mapa final'!#REF!="Baja",'Mapa final'!#REF!="Catastrófico"),CONCATENATE("R6C",'Mapa final'!#REF!),"")</f>
        <v>#REF!</v>
      </c>
      <c r="AN41" s="1"/>
      <c r="AO41" s="272"/>
      <c r="AP41" s="218"/>
      <c r="AQ41" s="218"/>
      <c r="AR41" s="218"/>
      <c r="AS41" s="218"/>
      <c r="AT41" s="273"/>
    </row>
    <row r="42" spans="2:46" ht="15" customHeight="1" x14ac:dyDescent="0.35">
      <c r="B42" s="263"/>
      <c r="C42" s="218"/>
      <c r="D42" s="219"/>
      <c r="E42" s="230"/>
      <c r="F42" s="218"/>
      <c r="G42" s="218"/>
      <c r="H42" s="218"/>
      <c r="I42" s="218"/>
      <c r="J42" s="45" t="e">
        <f>IF(AND('Mapa final'!#REF!="Baja",'Mapa final'!#REF!="Leve"),CONCATENATE("R7C",'Mapa final'!#REF!),"")</f>
        <v>#REF!</v>
      </c>
      <c r="K42" s="46" t="e">
        <f>IF(AND('Mapa final'!#REF!="Baja",'Mapa final'!#REF!="Leve"),CONCATENATE("R7C",'Mapa final'!#REF!),"")</f>
        <v>#REF!</v>
      </c>
      <c r="L42" s="46" t="e">
        <f>IF(AND('Mapa final'!#REF!="Baja",'Mapa final'!#REF!="Leve"),CONCATENATE("R7C",'Mapa final'!#REF!),"")</f>
        <v>#REF!</v>
      </c>
      <c r="M42" s="46" t="e">
        <f>IF(AND('Mapa final'!#REF!="Baja",'Mapa final'!#REF!="Leve"),CONCATENATE("R7C",'Mapa final'!#REF!),"")</f>
        <v>#REF!</v>
      </c>
      <c r="N42" s="46" t="e">
        <f>IF(AND('Mapa final'!#REF!="Baja",'Mapa final'!#REF!="Leve"),CONCATENATE("R7C",'Mapa final'!#REF!),"")</f>
        <v>#REF!</v>
      </c>
      <c r="O42" s="47" t="e">
        <f>IF(AND('Mapa final'!#REF!="Baja",'Mapa final'!#REF!="Leve"),CONCATENATE("R7C",'Mapa final'!#REF!),"")</f>
        <v>#REF!</v>
      </c>
      <c r="P42" s="36" t="e">
        <f>IF(AND('Mapa final'!#REF!="Baja",'Mapa final'!#REF!="Menor"),CONCATENATE("R7C",'Mapa final'!#REF!),"")</f>
        <v>#REF!</v>
      </c>
      <c r="Q42" s="37" t="e">
        <f>IF(AND('Mapa final'!#REF!="Baja",'Mapa final'!#REF!="Menor"),CONCATENATE("R7C",'Mapa final'!#REF!),"")</f>
        <v>#REF!</v>
      </c>
      <c r="R42" s="37" t="e">
        <f>IF(AND('Mapa final'!#REF!="Baja",'Mapa final'!#REF!="Menor"),CONCATENATE("R7C",'Mapa final'!#REF!),"")</f>
        <v>#REF!</v>
      </c>
      <c r="S42" s="37" t="e">
        <f>IF(AND('Mapa final'!#REF!="Baja",'Mapa final'!#REF!="Menor"),CONCATENATE("R7C",'Mapa final'!#REF!),"")</f>
        <v>#REF!</v>
      </c>
      <c r="T42" s="37" t="e">
        <f>IF(AND('Mapa final'!#REF!="Baja",'Mapa final'!#REF!="Menor"),CONCATENATE("R7C",'Mapa final'!#REF!),"")</f>
        <v>#REF!</v>
      </c>
      <c r="U42" s="38" t="e">
        <f>IF(AND('Mapa final'!#REF!="Baja",'Mapa final'!#REF!="Menor"),CONCATENATE("R7C",'Mapa final'!#REF!),"")</f>
        <v>#REF!</v>
      </c>
      <c r="V42" s="36" t="e">
        <f>IF(AND('Mapa final'!#REF!="Baja",'Mapa final'!#REF!="Moderado"),CONCATENATE("R7C",'Mapa final'!#REF!),"")</f>
        <v>#REF!</v>
      </c>
      <c r="W42" s="37" t="e">
        <f>IF(AND('Mapa final'!#REF!="Baja",'Mapa final'!#REF!="Moderado"),CONCATENATE("R7C",'Mapa final'!#REF!),"")</f>
        <v>#REF!</v>
      </c>
      <c r="X42" s="37" t="e">
        <f>IF(AND('Mapa final'!#REF!="Baja",'Mapa final'!#REF!="Moderado"),CONCATENATE("R7C",'Mapa final'!#REF!),"")</f>
        <v>#REF!</v>
      </c>
      <c r="Y42" s="37" t="e">
        <f>IF(AND('Mapa final'!#REF!="Baja",'Mapa final'!#REF!="Moderado"),CONCATENATE("R7C",'Mapa final'!#REF!),"")</f>
        <v>#REF!</v>
      </c>
      <c r="Z42" s="37" t="e">
        <f>IF(AND('Mapa final'!#REF!="Baja",'Mapa final'!#REF!="Moderado"),CONCATENATE("R7C",'Mapa final'!#REF!),"")</f>
        <v>#REF!</v>
      </c>
      <c r="AA42" s="38" t="e">
        <f>IF(AND('Mapa final'!#REF!="Baja",'Mapa final'!#REF!="Moderado"),CONCATENATE("R7C",'Mapa final'!#REF!),"")</f>
        <v>#REF!</v>
      </c>
      <c r="AB42" s="21" t="e">
        <f>IF(AND('Mapa final'!#REF!="Baja",'Mapa final'!#REF!="Mayor"),CONCATENATE("R7C",'Mapa final'!#REF!),"")</f>
        <v>#REF!</v>
      </c>
      <c r="AC42" s="22" t="e">
        <f>IF(AND('Mapa final'!#REF!="Baja",'Mapa final'!#REF!="Mayor"),CONCATENATE("R7C",'Mapa final'!#REF!),"")</f>
        <v>#REF!</v>
      </c>
      <c r="AD42" s="22" t="e">
        <f>IF(AND('Mapa final'!#REF!="Baja",'Mapa final'!#REF!="Mayor"),CONCATENATE("R7C",'Mapa final'!#REF!),"")</f>
        <v>#REF!</v>
      </c>
      <c r="AE42" s="22" t="e">
        <f>IF(AND('Mapa final'!#REF!="Baja",'Mapa final'!#REF!="Mayor"),CONCATENATE("R7C",'Mapa final'!#REF!),"")</f>
        <v>#REF!</v>
      </c>
      <c r="AF42" s="22" t="e">
        <f>IF(AND('Mapa final'!#REF!="Baja",'Mapa final'!#REF!="Mayor"),CONCATENATE("R7C",'Mapa final'!#REF!),"")</f>
        <v>#REF!</v>
      </c>
      <c r="AG42" s="23" t="e">
        <f>IF(AND('Mapa final'!#REF!="Baja",'Mapa final'!#REF!="Mayor"),CONCATENATE("R7C",'Mapa final'!#REF!),"")</f>
        <v>#REF!</v>
      </c>
      <c r="AH42" s="24" t="e">
        <f>IF(AND('Mapa final'!#REF!="Baja",'Mapa final'!#REF!="Catastrófico"),CONCATENATE("R7C",'Mapa final'!#REF!),"")</f>
        <v>#REF!</v>
      </c>
      <c r="AI42" s="25" t="e">
        <f>IF(AND('Mapa final'!#REF!="Baja",'Mapa final'!#REF!="Catastrófico"),CONCATENATE("R7C",'Mapa final'!#REF!),"")</f>
        <v>#REF!</v>
      </c>
      <c r="AJ42" s="25" t="e">
        <f>IF(AND('Mapa final'!#REF!="Baja",'Mapa final'!#REF!="Catastrófico"),CONCATENATE("R7C",'Mapa final'!#REF!),"")</f>
        <v>#REF!</v>
      </c>
      <c r="AK42" s="25" t="e">
        <f>IF(AND('Mapa final'!#REF!="Baja",'Mapa final'!#REF!="Catastrófico"),CONCATENATE("R7C",'Mapa final'!#REF!),"")</f>
        <v>#REF!</v>
      </c>
      <c r="AL42" s="25" t="e">
        <f>IF(AND('Mapa final'!#REF!="Baja",'Mapa final'!#REF!="Catastrófico"),CONCATENATE("R7C",'Mapa final'!#REF!),"")</f>
        <v>#REF!</v>
      </c>
      <c r="AM42" s="26" t="e">
        <f>IF(AND('Mapa final'!#REF!="Baja",'Mapa final'!#REF!="Catastrófico"),CONCATENATE("R7C",'Mapa final'!#REF!),"")</f>
        <v>#REF!</v>
      </c>
      <c r="AN42" s="1"/>
      <c r="AO42" s="272"/>
      <c r="AP42" s="218"/>
      <c r="AQ42" s="218"/>
      <c r="AR42" s="218"/>
      <c r="AS42" s="218"/>
      <c r="AT42" s="273"/>
    </row>
    <row r="43" spans="2:46" ht="15" customHeight="1" x14ac:dyDescent="0.35">
      <c r="B43" s="263"/>
      <c r="C43" s="218"/>
      <c r="D43" s="219"/>
      <c r="E43" s="230"/>
      <c r="F43" s="218"/>
      <c r="G43" s="218"/>
      <c r="H43" s="218"/>
      <c r="I43" s="218"/>
      <c r="J43" s="45" t="e">
        <f>IF(AND('Mapa final'!#REF!="Baja",'Mapa final'!#REF!="Leve"),CONCATENATE("R8C",'Mapa final'!#REF!),"")</f>
        <v>#REF!</v>
      </c>
      <c r="K43" s="46" t="e">
        <f>IF(AND('Mapa final'!#REF!="Baja",'Mapa final'!#REF!="Leve"),CONCATENATE("R8C",'Mapa final'!#REF!),"")</f>
        <v>#REF!</v>
      </c>
      <c r="L43" s="46" t="e">
        <f>IF(AND('Mapa final'!#REF!="Baja",'Mapa final'!#REF!="Leve"),CONCATENATE("R8C",'Mapa final'!#REF!),"")</f>
        <v>#REF!</v>
      </c>
      <c r="M43" s="46" t="e">
        <f>IF(AND('Mapa final'!#REF!="Baja",'Mapa final'!#REF!="Leve"),CONCATENATE("R8C",'Mapa final'!#REF!),"")</f>
        <v>#REF!</v>
      </c>
      <c r="N43" s="46" t="e">
        <f>IF(AND('Mapa final'!#REF!="Baja",'Mapa final'!#REF!="Leve"),CONCATENATE("R8C",'Mapa final'!#REF!),"")</f>
        <v>#REF!</v>
      </c>
      <c r="O43" s="47" t="e">
        <f>IF(AND('Mapa final'!#REF!="Baja",'Mapa final'!#REF!="Leve"),CONCATENATE("R8C",'Mapa final'!#REF!),"")</f>
        <v>#REF!</v>
      </c>
      <c r="P43" s="36" t="e">
        <f>IF(AND('Mapa final'!#REF!="Baja",'Mapa final'!#REF!="Menor"),CONCATENATE("R8C",'Mapa final'!#REF!),"")</f>
        <v>#REF!</v>
      </c>
      <c r="Q43" s="37" t="e">
        <f>IF(AND('Mapa final'!#REF!="Baja",'Mapa final'!#REF!="Menor"),CONCATENATE("R8C",'Mapa final'!#REF!),"")</f>
        <v>#REF!</v>
      </c>
      <c r="R43" s="37" t="e">
        <f>IF(AND('Mapa final'!#REF!="Baja",'Mapa final'!#REF!="Menor"),CONCATENATE("R8C",'Mapa final'!#REF!),"")</f>
        <v>#REF!</v>
      </c>
      <c r="S43" s="37" t="e">
        <f>IF(AND('Mapa final'!#REF!="Baja",'Mapa final'!#REF!="Menor"),CONCATENATE("R8C",'Mapa final'!#REF!),"")</f>
        <v>#REF!</v>
      </c>
      <c r="T43" s="37" t="e">
        <f>IF(AND('Mapa final'!#REF!="Baja",'Mapa final'!#REF!="Menor"),CONCATENATE("R8C",'Mapa final'!#REF!),"")</f>
        <v>#REF!</v>
      </c>
      <c r="U43" s="38" t="e">
        <f>IF(AND('Mapa final'!#REF!="Baja",'Mapa final'!#REF!="Menor"),CONCATENATE("R8C",'Mapa final'!#REF!),"")</f>
        <v>#REF!</v>
      </c>
      <c r="V43" s="36" t="e">
        <f>IF(AND('Mapa final'!#REF!="Baja",'Mapa final'!#REF!="Moderado"),CONCATENATE("R8C",'Mapa final'!#REF!),"")</f>
        <v>#REF!</v>
      </c>
      <c r="W43" s="37" t="e">
        <f>IF(AND('Mapa final'!#REF!="Baja",'Mapa final'!#REF!="Moderado"),CONCATENATE("R8C",'Mapa final'!#REF!),"")</f>
        <v>#REF!</v>
      </c>
      <c r="X43" s="37" t="e">
        <f>IF(AND('Mapa final'!#REF!="Baja",'Mapa final'!#REF!="Moderado"),CONCATENATE("R8C",'Mapa final'!#REF!),"")</f>
        <v>#REF!</v>
      </c>
      <c r="Y43" s="37" t="e">
        <f>IF(AND('Mapa final'!#REF!="Baja",'Mapa final'!#REF!="Moderado"),CONCATENATE("R8C",'Mapa final'!#REF!),"")</f>
        <v>#REF!</v>
      </c>
      <c r="Z43" s="37" t="e">
        <f>IF(AND('Mapa final'!#REF!="Baja",'Mapa final'!#REF!="Moderado"),CONCATENATE("R8C",'Mapa final'!#REF!),"")</f>
        <v>#REF!</v>
      </c>
      <c r="AA43" s="38" t="e">
        <f>IF(AND('Mapa final'!#REF!="Baja",'Mapa final'!#REF!="Moderado"),CONCATENATE("R8C",'Mapa final'!#REF!),"")</f>
        <v>#REF!</v>
      </c>
      <c r="AB43" s="21" t="e">
        <f>IF(AND('Mapa final'!#REF!="Baja",'Mapa final'!#REF!="Mayor"),CONCATENATE("R8C",'Mapa final'!#REF!),"")</f>
        <v>#REF!</v>
      </c>
      <c r="AC43" s="22" t="e">
        <f>IF(AND('Mapa final'!#REF!="Baja",'Mapa final'!#REF!="Mayor"),CONCATENATE("R8C",'Mapa final'!#REF!),"")</f>
        <v>#REF!</v>
      </c>
      <c r="AD43" s="22" t="e">
        <f>IF(AND('Mapa final'!#REF!="Baja",'Mapa final'!#REF!="Mayor"),CONCATENATE("R8C",'Mapa final'!#REF!),"")</f>
        <v>#REF!</v>
      </c>
      <c r="AE43" s="22" t="e">
        <f>IF(AND('Mapa final'!#REF!="Baja",'Mapa final'!#REF!="Mayor"),CONCATENATE("R8C",'Mapa final'!#REF!),"")</f>
        <v>#REF!</v>
      </c>
      <c r="AF43" s="22" t="e">
        <f>IF(AND('Mapa final'!#REF!="Baja",'Mapa final'!#REF!="Mayor"),CONCATENATE("R8C",'Mapa final'!#REF!),"")</f>
        <v>#REF!</v>
      </c>
      <c r="AG43" s="23" t="e">
        <f>IF(AND('Mapa final'!#REF!="Baja",'Mapa final'!#REF!="Mayor"),CONCATENATE("R8C",'Mapa final'!#REF!),"")</f>
        <v>#REF!</v>
      </c>
      <c r="AH43" s="24" t="e">
        <f>IF(AND('Mapa final'!#REF!="Baja",'Mapa final'!#REF!="Catastrófico"),CONCATENATE("R8C",'Mapa final'!#REF!),"")</f>
        <v>#REF!</v>
      </c>
      <c r="AI43" s="25" t="e">
        <f>IF(AND('Mapa final'!#REF!="Baja",'Mapa final'!#REF!="Catastrófico"),CONCATENATE("R8C",'Mapa final'!#REF!),"")</f>
        <v>#REF!</v>
      </c>
      <c r="AJ43" s="25" t="e">
        <f>IF(AND('Mapa final'!#REF!="Baja",'Mapa final'!#REF!="Catastrófico"),CONCATENATE("R8C",'Mapa final'!#REF!),"")</f>
        <v>#REF!</v>
      </c>
      <c r="AK43" s="25" t="e">
        <f>IF(AND('Mapa final'!#REF!="Baja",'Mapa final'!#REF!="Catastrófico"),CONCATENATE("R8C",'Mapa final'!#REF!),"")</f>
        <v>#REF!</v>
      </c>
      <c r="AL43" s="25" t="e">
        <f>IF(AND('Mapa final'!#REF!="Baja",'Mapa final'!#REF!="Catastrófico"),CONCATENATE("R8C",'Mapa final'!#REF!),"")</f>
        <v>#REF!</v>
      </c>
      <c r="AM43" s="26" t="e">
        <f>IF(AND('Mapa final'!#REF!="Baja",'Mapa final'!#REF!="Catastrófico"),CONCATENATE("R8C",'Mapa final'!#REF!),"")</f>
        <v>#REF!</v>
      </c>
      <c r="AN43" s="1"/>
      <c r="AO43" s="272"/>
      <c r="AP43" s="218"/>
      <c r="AQ43" s="218"/>
      <c r="AR43" s="218"/>
      <c r="AS43" s="218"/>
      <c r="AT43" s="273"/>
    </row>
    <row r="44" spans="2:46" ht="15" customHeight="1" x14ac:dyDescent="0.35">
      <c r="B44" s="263"/>
      <c r="C44" s="218"/>
      <c r="D44" s="219"/>
      <c r="E44" s="230"/>
      <c r="F44" s="218"/>
      <c r="G44" s="218"/>
      <c r="H44" s="218"/>
      <c r="I44" s="218"/>
      <c r="J44" s="45" t="e">
        <f>IF(AND('Mapa final'!#REF!="Baja",'Mapa final'!#REF!="Leve"),CONCATENATE("R9C",'Mapa final'!#REF!),"")</f>
        <v>#REF!</v>
      </c>
      <c r="K44" s="46" t="e">
        <f>IF(AND('Mapa final'!#REF!="Baja",'Mapa final'!#REF!="Leve"),CONCATENATE("R9C",'Mapa final'!#REF!),"")</f>
        <v>#REF!</v>
      </c>
      <c r="L44" s="46" t="e">
        <f>IF(AND('Mapa final'!#REF!="Baja",'Mapa final'!#REF!="Leve"),CONCATENATE("R9C",'Mapa final'!#REF!),"")</f>
        <v>#REF!</v>
      </c>
      <c r="M44" s="46" t="e">
        <f>IF(AND('Mapa final'!#REF!="Baja",'Mapa final'!#REF!="Leve"),CONCATENATE("R9C",'Mapa final'!#REF!),"")</f>
        <v>#REF!</v>
      </c>
      <c r="N44" s="46" t="e">
        <f>IF(AND('Mapa final'!#REF!="Baja",'Mapa final'!#REF!="Leve"),CONCATENATE("R9C",'Mapa final'!#REF!),"")</f>
        <v>#REF!</v>
      </c>
      <c r="O44" s="47" t="e">
        <f>IF(AND('Mapa final'!#REF!="Baja",'Mapa final'!#REF!="Leve"),CONCATENATE("R9C",'Mapa final'!#REF!),"")</f>
        <v>#REF!</v>
      </c>
      <c r="P44" s="36" t="e">
        <f>IF(AND('Mapa final'!#REF!="Baja",'Mapa final'!#REF!="Menor"),CONCATENATE("R9C",'Mapa final'!#REF!),"")</f>
        <v>#REF!</v>
      </c>
      <c r="Q44" s="37" t="e">
        <f>IF(AND('Mapa final'!#REF!="Baja",'Mapa final'!#REF!="Menor"),CONCATENATE("R9C",'Mapa final'!#REF!),"")</f>
        <v>#REF!</v>
      </c>
      <c r="R44" s="37" t="e">
        <f>IF(AND('Mapa final'!#REF!="Baja",'Mapa final'!#REF!="Menor"),CONCATENATE("R9C",'Mapa final'!#REF!),"")</f>
        <v>#REF!</v>
      </c>
      <c r="S44" s="37" t="e">
        <f>IF(AND('Mapa final'!#REF!="Baja",'Mapa final'!#REF!="Menor"),CONCATENATE("R9C",'Mapa final'!#REF!),"")</f>
        <v>#REF!</v>
      </c>
      <c r="T44" s="37" t="e">
        <f>IF(AND('Mapa final'!#REF!="Baja",'Mapa final'!#REF!="Menor"),CONCATENATE("R9C",'Mapa final'!#REF!),"")</f>
        <v>#REF!</v>
      </c>
      <c r="U44" s="38" t="e">
        <f>IF(AND('Mapa final'!#REF!="Baja",'Mapa final'!#REF!="Menor"),CONCATENATE("R9C",'Mapa final'!#REF!),"")</f>
        <v>#REF!</v>
      </c>
      <c r="V44" s="36" t="e">
        <f>IF(AND('Mapa final'!#REF!="Baja",'Mapa final'!#REF!="Moderado"),CONCATENATE("R9C",'Mapa final'!#REF!),"")</f>
        <v>#REF!</v>
      </c>
      <c r="W44" s="37" t="e">
        <f>IF(AND('Mapa final'!#REF!="Baja",'Mapa final'!#REF!="Moderado"),CONCATENATE("R9C",'Mapa final'!#REF!),"")</f>
        <v>#REF!</v>
      </c>
      <c r="X44" s="37" t="e">
        <f>IF(AND('Mapa final'!#REF!="Baja",'Mapa final'!#REF!="Moderado"),CONCATENATE("R9C",'Mapa final'!#REF!),"")</f>
        <v>#REF!</v>
      </c>
      <c r="Y44" s="37" t="e">
        <f>IF(AND('Mapa final'!#REF!="Baja",'Mapa final'!#REF!="Moderado"),CONCATENATE("R9C",'Mapa final'!#REF!),"")</f>
        <v>#REF!</v>
      </c>
      <c r="Z44" s="37" t="e">
        <f>IF(AND('Mapa final'!#REF!="Baja",'Mapa final'!#REF!="Moderado"),CONCATENATE("R9C",'Mapa final'!#REF!),"")</f>
        <v>#REF!</v>
      </c>
      <c r="AA44" s="38" t="e">
        <f>IF(AND('Mapa final'!#REF!="Baja",'Mapa final'!#REF!="Moderado"),CONCATENATE("R9C",'Mapa final'!#REF!),"")</f>
        <v>#REF!</v>
      </c>
      <c r="AB44" s="21" t="e">
        <f>IF(AND('Mapa final'!#REF!="Baja",'Mapa final'!#REF!="Mayor"),CONCATENATE("R9C",'Mapa final'!#REF!),"")</f>
        <v>#REF!</v>
      </c>
      <c r="AC44" s="22" t="e">
        <f>IF(AND('Mapa final'!#REF!="Baja",'Mapa final'!#REF!="Mayor"),CONCATENATE("R9C",'Mapa final'!#REF!),"")</f>
        <v>#REF!</v>
      </c>
      <c r="AD44" s="22" t="e">
        <f>IF(AND('Mapa final'!#REF!="Baja",'Mapa final'!#REF!="Mayor"),CONCATENATE("R9C",'Mapa final'!#REF!),"")</f>
        <v>#REF!</v>
      </c>
      <c r="AE44" s="22" t="e">
        <f>IF(AND('Mapa final'!#REF!="Baja",'Mapa final'!#REF!="Mayor"),CONCATENATE("R9C",'Mapa final'!#REF!),"")</f>
        <v>#REF!</v>
      </c>
      <c r="AF44" s="22" t="e">
        <f>IF(AND('Mapa final'!#REF!="Baja",'Mapa final'!#REF!="Mayor"),CONCATENATE("R9C",'Mapa final'!#REF!),"")</f>
        <v>#REF!</v>
      </c>
      <c r="AG44" s="23" t="e">
        <f>IF(AND('Mapa final'!#REF!="Baja",'Mapa final'!#REF!="Mayor"),CONCATENATE("R9C",'Mapa final'!#REF!),"")</f>
        <v>#REF!</v>
      </c>
      <c r="AH44" s="24" t="e">
        <f>IF(AND('Mapa final'!#REF!="Baja",'Mapa final'!#REF!="Catastrófico"),CONCATENATE("R9C",'Mapa final'!#REF!),"")</f>
        <v>#REF!</v>
      </c>
      <c r="AI44" s="25" t="e">
        <f>IF(AND('Mapa final'!#REF!="Baja",'Mapa final'!#REF!="Catastrófico"),CONCATENATE("R9C",'Mapa final'!#REF!),"")</f>
        <v>#REF!</v>
      </c>
      <c r="AJ44" s="25" t="e">
        <f>IF(AND('Mapa final'!#REF!="Baja",'Mapa final'!#REF!="Catastrófico"),CONCATENATE("R9C",'Mapa final'!#REF!),"")</f>
        <v>#REF!</v>
      </c>
      <c r="AK44" s="25" t="e">
        <f>IF(AND('Mapa final'!#REF!="Baja",'Mapa final'!#REF!="Catastrófico"),CONCATENATE("R9C",'Mapa final'!#REF!),"")</f>
        <v>#REF!</v>
      </c>
      <c r="AL44" s="25" t="e">
        <f>IF(AND('Mapa final'!#REF!="Baja",'Mapa final'!#REF!="Catastrófico"),CONCATENATE("R9C",'Mapa final'!#REF!),"")</f>
        <v>#REF!</v>
      </c>
      <c r="AM44" s="26" t="e">
        <f>IF(AND('Mapa final'!#REF!="Baja",'Mapa final'!#REF!="Catastrófico"),CONCATENATE("R9C",'Mapa final'!#REF!),"")</f>
        <v>#REF!</v>
      </c>
      <c r="AN44" s="1"/>
      <c r="AO44" s="272"/>
      <c r="AP44" s="218"/>
      <c r="AQ44" s="218"/>
      <c r="AR44" s="218"/>
      <c r="AS44" s="218"/>
      <c r="AT44" s="273"/>
    </row>
    <row r="45" spans="2:46" ht="15.75" customHeight="1" x14ac:dyDescent="0.35">
      <c r="B45" s="263"/>
      <c r="C45" s="218"/>
      <c r="D45" s="219"/>
      <c r="E45" s="253"/>
      <c r="F45" s="254"/>
      <c r="G45" s="254"/>
      <c r="H45" s="254"/>
      <c r="I45" s="254"/>
      <c r="J45" s="48" t="e">
        <f>IF(AND('Mapa final'!#REF!="Baja",'Mapa final'!#REF!="Leve"),CONCATENATE("R10C",'Mapa final'!#REF!),"")</f>
        <v>#REF!</v>
      </c>
      <c r="K45" s="49" t="e">
        <f>IF(AND('Mapa final'!#REF!="Baja",'Mapa final'!#REF!="Leve"),CONCATENATE("R10C",'Mapa final'!#REF!),"")</f>
        <v>#REF!</v>
      </c>
      <c r="L45" s="49" t="e">
        <f>IF(AND('Mapa final'!#REF!="Baja",'Mapa final'!#REF!="Leve"),CONCATENATE("R10C",'Mapa final'!#REF!),"")</f>
        <v>#REF!</v>
      </c>
      <c r="M45" s="49" t="e">
        <f>IF(AND('Mapa final'!#REF!="Baja",'Mapa final'!#REF!="Leve"),CONCATENATE("R10C",'Mapa final'!#REF!),"")</f>
        <v>#REF!</v>
      </c>
      <c r="N45" s="49" t="e">
        <f>IF(AND('Mapa final'!#REF!="Baja",'Mapa final'!#REF!="Leve"),CONCATENATE("R10C",'Mapa final'!#REF!),"")</f>
        <v>#REF!</v>
      </c>
      <c r="O45" s="50" t="e">
        <f>IF(AND('Mapa final'!#REF!="Baja",'Mapa final'!#REF!="Leve"),CONCATENATE("R10C",'Mapa final'!#REF!),"")</f>
        <v>#REF!</v>
      </c>
      <c r="P45" s="36" t="e">
        <f>IF(AND('Mapa final'!#REF!="Baja",'Mapa final'!#REF!="Menor"),CONCATENATE("R10C",'Mapa final'!#REF!),"")</f>
        <v>#REF!</v>
      </c>
      <c r="Q45" s="37" t="e">
        <f>IF(AND('Mapa final'!#REF!="Baja",'Mapa final'!#REF!="Menor"),CONCATENATE("R10C",'Mapa final'!#REF!),"")</f>
        <v>#REF!</v>
      </c>
      <c r="R45" s="37" t="e">
        <f>IF(AND('Mapa final'!#REF!="Baja",'Mapa final'!#REF!="Menor"),CONCATENATE("R10C",'Mapa final'!#REF!),"")</f>
        <v>#REF!</v>
      </c>
      <c r="S45" s="37" t="e">
        <f>IF(AND('Mapa final'!#REF!="Baja",'Mapa final'!#REF!="Menor"),CONCATENATE("R10C",'Mapa final'!#REF!),"")</f>
        <v>#REF!</v>
      </c>
      <c r="T45" s="37" t="e">
        <f>IF(AND('Mapa final'!#REF!="Baja",'Mapa final'!#REF!="Menor"),CONCATENATE("R10C",'Mapa final'!#REF!),"")</f>
        <v>#REF!</v>
      </c>
      <c r="U45" s="38" t="e">
        <f>IF(AND('Mapa final'!#REF!="Baja",'Mapa final'!#REF!="Menor"),CONCATENATE("R10C",'Mapa final'!#REF!),"")</f>
        <v>#REF!</v>
      </c>
      <c r="V45" s="39" t="e">
        <f>IF(AND('Mapa final'!#REF!="Baja",'Mapa final'!#REF!="Moderado"),CONCATENATE("R10C",'Mapa final'!#REF!),"")</f>
        <v>#REF!</v>
      </c>
      <c r="W45" s="40" t="e">
        <f>IF(AND('Mapa final'!#REF!="Baja",'Mapa final'!#REF!="Moderado"),CONCATENATE("R10C",'Mapa final'!#REF!),"")</f>
        <v>#REF!</v>
      </c>
      <c r="X45" s="40" t="e">
        <f>IF(AND('Mapa final'!#REF!="Baja",'Mapa final'!#REF!="Moderado"),CONCATENATE("R10C",'Mapa final'!#REF!),"")</f>
        <v>#REF!</v>
      </c>
      <c r="Y45" s="40" t="e">
        <f>IF(AND('Mapa final'!#REF!="Baja",'Mapa final'!#REF!="Moderado"),CONCATENATE("R10C",'Mapa final'!#REF!),"")</f>
        <v>#REF!</v>
      </c>
      <c r="Z45" s="40" t="e">
        <f>IF(AND('Mapa final'!#REF!="Baja",'Mapa final'!#REF!="Moderado"),CONCATENATE("R10C",'Mapa final'!#REF!),"")</f>
        <v>#REF!</v>
      </c>
      <c r="AA45" s="41" t="e">
        <f>IF(AND('Mapa final'!#REF!="Baja",'Mapa final'!#REF!="Moderado"),CONCATENATE("R10C",'Mapa final'!#REF!),"")</f>
        <v>#REF!</v>
      </c>
      <c r="AB45" s="27" t="e">
        <f>IF(AND('Mapa final'!#REF!="Baja",'Mapa final'!#REF!="Mayor"),CONCATENATE("R10C",'Mapa final'!#REF!),"")</f>
        <v>#REF!</v>
      </c>
      <c r="AC45" s="28" t="e">
        <f>IF(AND('Mapa final'!#REF!="Baja",'Mapa final'!#REF!="Mayor"),CONCATENATE("R10C",'Mapa final'!#REF!),"")</f>
        <v>#REF!</v>
      </c>
      <c r="AD45" s="28" t="e">
        <f>IF(AND('Mapa final'!#REF!="Baja",'Mapa final'!#REF!="Mayor"),CONCATENATE("R10C",'Mapa final'!#REF!),"")</f>
        <v>#REF!</v>
      </c>
      <c r="AE45" s="28" t="e">
        <f>IF(AND('Mapa final'!#REF!="Baja",'Mapa final'!#REF!="Mayor"),CONCATENATE("R10C",'Mapa final'!#REF!),"")</f>
        <v>#REF!</v>
      </c>
      <c r="AF45" s="28" t="e">
        <f>IF(AND('Mapa final'!#REF!="Baja",'Mapa final'!#REF!="Mayor"),CONCATENATE("R10C",'Mapa final'!#REF!),"")</f>
        <v>#REF!</v>
      </c>
      <c r="AG45" s="29" t="e">
        <f>IF(AND('Mapa final'!#REF!="Baja",'Mapa final'!#REF!="Mayor"),CONCATENATE("R10C",'Mapa final'!#REF!),"")</f>
        <v>#REF!</v>
      </c>
      <c r="AH45" s="30" t="e">
        <f>IF(AND('Mapa final'!#REF!="Baja",'Mapa final'!#REF!="Catastrófico"),CONCATENATE("R10C",'Mapa final'!#REF!),"")</f>
        <v>#REF!</v>
      </c>
      <c r="AI45" s="31" t="e">
        <f>IF(AND('Mapa final'!#REF!="Baja",'Mapa final'!#REF!="Catastrófico"),CONCATENATE("R10C",'Mapa final'!#REF!),"")</f>
        <v>#REF!</v>
      </c>
      <c r="AJ45" s="31" t="e">
        <f>IF(AND('Mapa final'!#REF!="Baja",'Mapa final'!#REF!="Catastrófico"),CONCATENATE("R10C",'Mapa final'!#REF!),"")</f>
        <v>#REF!</v>
      </c>
      <c r="AK45" s="31" t="e">
        <f>IF(AND('Mapa final'!#REF!="Baja",'Mapa final'!#REF!="Catastrófico"),CONCATENATE("R10C",'Mapa final'!#REF!),"")</f>
        <v>#REF!</v>
      </c>
      <c r="AL45" s="31" t="e">
        <f>IF(AND('Mapa final'!#REF!="Baja",'Mapa final'!#REF!="Catastrófico"),CONCATENATE("R10C",'Mapa final'!#REF!),"")</f>
        <v>#REF!</v>
      </c>
      <c r="AM45" s="32" t="e">
        <f>IF(AND('Mapa final'!#REF!="Baja",'Mapa final'!#REF!="Catastrófico"),CONCATENATE("R10C",'Mapa final'!#REF!),"")</f>
        <v>#REF!</v>
      </c>
      <c r="AN45" s="1"/>
      <c r="AO45" s="274"/>
      <c r="AP45" s="275"/>
      <c r="AQ45" s="275"/>
      <c r="AR45" s="275"/>
      <c r="AS45" s="275"/>
      <c r="AT45" s="276"/>
    </row>
    <row r="46" spans="2:46" ht="46.5" customHeight="1" x14ac:dyDescent="0.55000000000000004">
      <c r="B46" s="263"/>
      <c r="C46" s="218"/>
      <c r="D46" s="219"/>
      <c r="E46" s="281" t="s">
        <v>103</v>
      </c>
      <c r="F46" s="252"/>
      <c r="G46" s="252"/>
      <c r="H46" s="252"/>
      <c r="I46" s="238"/>
      <c r="J46" s="42" t="str">
        <f>IF(AND('Mapa final'!$Y$16="Muy Baja",'Mapa final'!$AA$16="Leve"),CONCATENATE("R1C",'Mapa final'!$O$16),"")</f>
        <v/>
      </c>
      <c r="K46" s="43" t="str">
        <f>IF(AND('Mapa final'!$Y$17="Muy Baja",'Mapa final'!$AA$17="Leve"),CONCATENATE("R1C",'Mapa final'!$O$17),"")</f>
        <v/>
      </c>
      <c r="L46" s="43" t="str">
        <f>IF(AND('Mapa final'!$Y$18="Muy Baja",'Mapa final'!$AA$18="Leve"),CONCATENATE("R1C",'Mapa final'!$O$18),"")</f>
        <v/>
      </c>
      <c r="M46" s="43" t="e">
        <f>IF(AND('Mapa final'!#REF!="Muy Baja",'Mapa final'!#REF!="Leve"),CONCATENATE("R1C",'Mapa final'!#REF!),"")</f>
        <v>#REF!</v>
      </c>
      <c r="N46" s="43" t="e">
        <f>IF(AND('Mapa final'!#REF!="Muy Baja",'Mapa final'!#REF!="Leve"),CONCATENATE("R1C",'Mapa final'!#REF!),"")</f>
        <v>#REF!</v>
      </c>
      <c r="O46" s="44" t="e">
        <f>IF(AND('Mapa final'!#REF!="Muy Baja",'Mapa final'!#REF!="Leve"),CONCATENATE("R1C",'Mapa final'!#REF!),"")</f>
        <v>#REF!</v>
      </c>
      <c r="P46" s="42" t="str">
        <f>IF(AND('Mapa final'!$Y$16="Muy Baja",'Mapa final'!$AA$16="Menor"),CONCATENATE("R1C",'Mapa final'!$O$16),"")</f>
        <v/>
      </c>
      <c r="Q46" s="43" t="str">
        <f>IF(AND('Mapa final'!$Y$17="Muy Baja",'Mapa final'!$AA$17="Menor"),CONCATENATE("R1C",'Mapa final'!$O$17),"")</f>
        <v/>
      </c>
      <c r="R46" s="43" t="str">
        <f>IF(AND('Mapa final'!$Y$18="Muy Baja",'Mapa final'!$AA$18="Menor"),CONCATENATE("R1C",'Mapa final'!$O$18),"")</f>
        <v/>
      </c>
      <c r="S46" s="43" t="e">
        <f>IF(AND('Mapa final'!#REF!="Muy Baja",'Mapa final'!#REF!="Menor"),CONCATENATE("R1C",'Mapa final'!#REF!),"")</f>
        <v>#REF!</v>
      </c>
      <c r="T46" s="43" t="e">
        <f>IF(AND('Mapa final'!#REF!="Muy Baja",'Mapa final'!#REF!="Menor"),CONCATENATE("R1C",'Mapa final'!#REF!),"")</f>
        <v>#REF!</v>
      </c>
      <c r="U46" s="44" t="e">
        <f>IF(AND('Mapa final'!#REF!="Muy Baja",'Mapa final'!#REF!="Menor"),CONCATENATE("R1C",'Mapa final'!#REF!),"")</f>
        <v>#REF!</v>
      </c>
      <c r="V46" s="33" t="str">
        <f>IF(AND('Mapa final'!$Y$16="Muy Baja",'Mapa final'!$AA$16="Moderado"),CONCATENATE("R1C",'Mapa final'!$O$16),"")</f>
        <v/>
      </c>
      <c r="W46" s="51" t="str">
        <f>IF(AND('Mapa final'!$Y$17="Muy Baja",'Mapa final'!$AA$17="Moderado"),CONCATENATE("R1C",'Mapa final'!$O$17),"")</f>
        <v/>
      </c>
      <c r="X46" s="34" t="str">
        <f>IF(AND('Mapa final'!$Y$18="Muy Baja",'Mapa final'!$AA$18="Moderado"),CONCATENATE("R1C",'Mapa final'!$O$18),"")</f>
        <v/>
      </c>
      <c r="Y46" s="34" t="e">
        <f>IF(AND('Mapa final'!#REF!="Muy Baja",'Mapa final'!#REF!="Moderado"),CONCATENATE("R1C",'Mapa final'!#REF!),"")</f>
        <v>#REF!</v>
      </c>
      <c r="Z46" s="34" t="e">
        <f>IF(AND('Mapa final'!#REF!="Muy Baja",'Mapa final'!#REF!="Moderado"),CONCATENATE("R1C",'Mapa final'!#REF!),"")</f>
        <v>#REF!</v>
      </c>
      <c r="AA46" s="35" t="e">
        <f>IF(AND('Mapa final'!#REF!="Muy Baja",'Mapa final'!#REF!="Moderado"),CONCATENATE("R1C",'Mapa final'!#REF!),"")</f>
        <v>#REF!</v>
      </c>
      <c r="AB46" s="15" t="str">
        <f>IF(AND('Mapa final'!$Y$16="Muy Baja",'Mapa final'!$AA$16="Mayor"),CONCATENATE("R1C",'Mapa final'!$O$16),"")</f>
        <v/>
      </c>
      <c r="AC46" s="16" t="str">
        <f>IF(AND('Mapa final'!$Y$17="Muy Baja",'Mapa final'!$AA$17="Mayor"),CONCATENATE("R1C",'Mapa final'!$O$17),"")</f>
        <v/>
      </c>
      <c r="AD46" s="16" t="str">
        <f>IF(AND('Mapa final'!$Y$18="Muy Baja",'Mapa final'!$AA$18="Mayor"),CONCATENATE("R1C",'Mapa final'!$O$18),"")</f>
        <v/>
      </c>
      <c r="AE46" s="16" t="e">
        <f>IF(AND('Mapa final'!#REF!="Muy Baja",'Mapa final'!#REF!="Mayor"),CONCATENATE("R1C",'Mapa final'!#REF!),"")</f>
        <v>#REF!</v>
      </c>
      <c r="AF46" s="16" t="e">
        <f>IF(AND('Mapa final'!#REF!="Muy Baja",'Mapa final'!#REF!="Mayor"),CONCATENATE("R1C",'Mapa final'!#REF!),"")</f>
        <v>#REF!</v>
      </c>
      <c r="AG46" s="17" t="e">
        <f>IF(AND('Mapa final'!#REF!="Muy Baja",'Mapa final'!#REF!="Mayor"),CONCATENATE("R1C",'Mapa final'!#REF!),"")</f>
        <v>#REF!</v>
      </c>
      <c r="AH46" s="18" t="str">
        <f>IF(AND('Mapa final'!$Y$16="Muy Baja",'Mapa final'!$AA$16="Catastrófico"),CONCATENATE("R1C",'Mapa final'!$O$16),"")</f>
        <v/>
      </c>
      <c r="AI46" s="19" t="str">
        <f>IF(AND('Mapa final'!$Y$17="Muy Baja",'Mapa final'!$AA$17="Catastrófico"),CONCATENATE("R1C",'Mapa final'!$O$17),"")</f>
        <v/>
      </c>
      <c r="AJ46" s="19" t="str">
        <f>IF(AND('Mapa final'!$Y$18="Muy Baja",'Mapa final'!$AA$18="Catastrófico"),CONCATENATE("R1C",'Mapa final'!$O$18),"")</f>
        <v/>
      </c>
      <c r="AK46" s="19" t="e">
        <f>IF(AND('Mapa final'!#REF!="Muy Baja",'Mapa final'!#REF!="Catastrófico"),CONCATENATE("R1C",'Mapa final'!#REF!),"")</f>
        <v>#REF!</v>
      </c>
      <c r="AL46" s="19" t="e">
        <f>IF(AND('Mapa final'!#REF!="Muy Baja",'Mapa final'!#REF!="Catastrófico"),CONCATENATE("R1C",'Mapa final'!#REF!),"")</f>
        <v>#REF!</v>
      </c>
      <c r="AM46" s="20" t="e">
        <f>IF(AND('Mapa final'!#REF!="Muy Baja",'Mapa final'!#REF!="Catastrófico"),CONCATENATE("R1C",'Mapa final'!#REF!),"")</f>
        <v>#REF!</v>
      </c>
      <c r="AN46" s="1"/>
      <c r="AO46" s="1"/>
      <c r="AP46" s="1"/>
      <c r="AQ46" s="1"/>
      <c r="AR46" s="1"/>
      <c r="AS46" s="1"/>
      <c r="AT46" s="1"/>
    </row>
    <row r="47" spans="2:46" ht="46.5" customHeight="1" x14ac:dyDescent="0.35">
      <c r="B47" s="263"/>
      <c r="C47" s="218"/>
      <c r="D47" s="219"/>
      <c r="E47" s="230"/>
      <c r="F47" s="218"/>
      <c r="G47" s="218"/>
      <c r="H47" s="218"/>
      <c r="I47" s="219"/>
      <c r="J47" s="45" t="str">
        <f>IF(AND('Mapa final'!$Y$21="Muy Baja",'Mapa final'!$AA$21="Leve"),CONCATENATE("R2C",'Mapa final'!$O$21),"")</f>
        <v/>
      </c>
      <c r="K47" s="46" t="e">
        <f>IF(AND('Mapa final'!#REF!="Muy Baja",'Mapa final'!#REF!="Leve"),CONCATENATE("R2C",'Mapa final'!#REF!),"")</f>
        <v>#REF!</v>
      </c>
      <c r="L47" s="46" t="e">
        <f>IF(AND('Mapa final'!#REF!="Muy Baja",'Mapa final'!#REF!="Leve"),CONCATENATE("R2C",'Mapa final'!#REF!),"")</f>
        <v>#REF!</v>
      </c>
      <c r="M47" s="46" t="e">
        <f>IF(AND('Mapa final'!#REF!="Muy Baja",'Mapa final'!#REF!="Leve"),CONCATENATE("R2C",'Mapa final'!#REF!),"")</f>
        <v>#REF!</v>
      </c>
      <c r="N47" s="46" t="str">
        <f>IF(AND('Mapa final'!$Y$22="Muy Baja",'Mapa final'!$AA$22="Leve"),CONCATENATE("R2C",'Mapa final'!$O$22),"")</f>
        <v/>
      </c>
      <c r="O47" s="47" t="str">
        <f>IF(AND('Mapa final'!$Y$23="Muy Baja",'Mapa final'!$AA$23="Leve"),CONCATENATE("R2C",'Mapa final'!$O$23),"")</f>
        <v/>
      </c>
      <c r="P47" s="45" t="str">
        <f>IF(AND('Mapa final'!$Y$21="Muy Baja",'Mapa final'!$AA$21="Menor"),CONCATENATE("R2C",'Mapa final'!$O$21),"")</f>
        <v/>
      </c>
      <c r="Q47" s="46" t="e">
        <f>IF(AND('Mapa final'!#REF!="Muy Baja",'Mapa final'!#REF!="Menor"),CONCATENATE("R2C",'Mapa final'!#REF!),"")</f>
        <v>#REF!</v>
      </c>
      <c r="R47" s="46" t="e">
        <f>IF(AND('Mapa final'!#REF!="Muy Baja",'Mapa final'!#REF!="Menor"),CONCATENATE("R2C",'Mapa final'!#REF!),"")</f>
        <v>#REF!</v>
      </c>
      <c r="S47" s="46" t="e">
        <f>IF(AND('Mapa final'!#REF!="Muy Baja",'Mapa final'!#REF!="Menor"),CONCATENATE("R2C",'Mapa final'!#REF!),"")</f>
        <v>#REF!</v>
      </c>
      <c r="T47" s="46" t="str">
        <f>IF(AND('Mapa final'!$Y$22="Muy Baja",'Mapa final'!$AA$22="Menor"),CONCATENATE("R2C",'Mapa final'!$O$22),"")</f>
        <v/>
      </c>
      <c r="U47" s="47" t="str">
        <f>IF(AND('Mapa final'!$Y$23="Muy Baja",'Mapa final'!$AA$23="Menor"),CONCATENATE("R2C",'Mapa final'!$O$23),"")</f>
        <v/>
      </c>
      <c r="V47" s="36" t="str">
        <f>IF(AND('Mapa final'!$Y$21="Muy Baja",'Mapa final'!$AA$21="Moderado"),CONCATENATE("R2C",'Mapa final'!$O$21),"")</f>
        <v/>
      </c>
      <c r="W47" s="37" t="e">
        <f>IF(AND('Mapa final'!#REF!="Muy Baja",'Mapa final'!#REF!="Moderado"),CONCATENATE("R2C",'Mapa final'!#REF!),"")</f>
        <v>#REF!</v>
      </c>
      <c r="X47" s="37" t="e">
        <f>IF(AND('Mapa final'!#REF!="Muy Baja",'Mapa final'!#REF!="Moderado"),CONCATENATE("R2C",'Mapa final'!#REF!),"")</f>
        <v>#REF!</v>
      </c>
      <c r="Y47" s="37" t="e">
        <f>IF(AND('Mapa final'!#REF!="Muy Baja",'Mapa final'!#REF!="Moderado"),CONCATENATE("R2C",'Mapa final'!#REF!),"")</f>
        <v>#REF!</v>
      </c>
      <c r="Z47" s="37" t="str">
        <f>IF(AND('Mapa final'!$Y$22="Muy Baja",'Mapa final'!$AA$22="Moderado"),CONCATENATE("R2C",'Mapa final'!$O$22),"")</f>
        <v>R2C2</v>
      </c>
      <c r="AA47" s="38" t="str">
        <f>IF(AND('Mapa final'!$Y$23="Muy Baja",'Mapa final'!$AA$23="Moderado"),CONCATENATE("R2C",'Mapa final'!$O$23),"")</f>
        <v/>
      </c>
      <c r="AB47" s="21" t="str">
        <f>IF(AND('Mapa final'!$Y$21="Muy Baja",'Mapa final'!$AA$21="Mayor"),CONCATENATE("R2C",'Mapa final'!$O$21),"")</f>
        <v/>
      </c>
      <c r="AC47" s="22" t="e">
        <f>IF(AND('Mapa final'!#REF!="Muy Baja",'Mapa final'!#REF!="Mayor"),CONCATENATE("R2C",'Mapa final'!#REF!),"")</f>
        <v>#REF!</v>
      </c>
      <c r="AD47" s="22" t="e">
        <f>IF(AND('Mapa final'!#REF!="Muy Baja",'Mapa final'!#REF!="Mayor"),CONCATENATE("R2C",'Mapa final'!#REF!),"")</f>
        <v>#REF!</v>
      </c>
      <c r="AE47" s="22" t="e">
        <f>IF(AND('Mapa final'!#REF!="Muy Baja",'Mapa final'!#REF!="Mayor"),CONCATENATE("R2C",'Mapa final'!#REF!),"")</f>
        <v>#REF!</v>
      </c>
      <c r="AF47" s="22" t="str">
        <f>IF(AND('Mapa final'!$Y$22="Muy Baja",'Mapa final'!$AA$22="Mayor"),CONCATENATE("R2C",'Mapa final'!$O$22),"")</f>
        <v/>
      </c>
      <c r="AG47" s="23" t="str">
        <f>IF(AND('Mapa final'!$Y$23="Muy Baja",'Mapa final'!$AA$23="Mayor"),CONCATENATE("R2C",'Mapa final'!$O$23),"")</f>
        <v/>
      </c>
      <c r="AH47" s="24" t="str">
        <f>IF(AND('Mapa final'!$Y$21="Muy Baja",'Mapa final'!$AA$21="Catastrófico"),CONCATENATE("R2C",'Mapa final'!$O$21),"")</f>
        <v/>
      </c>
      <c r="AI47" s="25" t="e">
        <f>IF(AND('Mapa final'!#REF!="Muy Baja",'Mapa final'!#REF!="Catastrófico"),CONCATENATE("R2C",'Mapa final'!#REF!),"")</f>
        <v>#REF!</v>
      </c>
      <c r="AJ47" s="25" t="e">
        <f>IF(AND('Mapa final'!#REF!="Muy Baja",'Mapa final'!#REF!="Catastrófico"),CONCATENATE("R2C",'Mapa final'!#REF!),"")</f>
        <v>#REF!</v>
      </c>
      <c r="AK47" s="25" t="e">
        <f>IF(AND('Mapa final'!#REF!="Muy Baja",'Mapa final'!#REF!="Catastrófico"),CONCATENATE("R2C",'Mapa final'!#REF!),"")</f>
        <v>#REF!</v>
      </c>
      <c r="AL47" s="25" t="str">
        <f>IF(AND('Mapa final'!$Y$22="Muy Baja",'Mapa final'!$AA$22="Catastrófico"),CONCATENATE("R2C",'Mapa final'!$O$22),"")</f>
        <v/>
      </c>
      <c r="AM47" s="26" t="str">
        <f>IF(AND('Mapa final'!$Y$23="Muy Baja",'Mapa final'!$AA$23="Catastrófico"),CONCATENATE("R2C",'Mapa final'!$O$23),"")</f>
        <v/>
      </c>
      <c r="AN47" s="1"/>
      <c r="AO47" s="1"/>
      <c r="AP47" s="1"/>
      <c r="AQ47" s="1"/>
      <c r="AR47" s="1"/>
      <c r="AS47" s="1"/>
      <c r="AT47" s="1"/>
    </row>
    <row r="48" spans="2:46" ht="15" customHeight="1" x14ac:dyDescent="0.35">
      <c r="B48" s="263"/>
      <c r="C48" s="218"/>
      <c r="D48" s="219"/>
      <c r="E48" s="230"/>
      <c r="F48" s="218"/>
      <c r="G48" s="218"/>
      <c r="H48" s="218"/>
      <c r="I48" s="219"/>
      <c r="J48" s="45" t="str">
        <f>IF(AND('Mapa final'!$Y$26="Muy Baja",'Mapa final'!$AA$26="Leve"),CONCATENATE("R3C",'Mapa final'!$O$26),"")</f>
        <v/>
      </c>
      <c r="K48" s="46" t="str">
        <f>IF(AND('Mapa final'!$Y$27="Muy Baja",'Mapa final'!$AA$27="Leve"),CONCATENATE("R3C",'Mapa final'!$O$27),"")</f>
        <v/>
      </c>
      <c r="L48" s="46" t="str">
        <f>IF(AND('Mapa final'!$Y$28="Muy Baja",'Mapa final'!$AA$28="Leve"),CONCATENATE("R3C",'Mapa final'!$O$28),"")</f>
        <v/>
      </c>
      <c r="M48" s="46" t="e">
        <f>IF(AND('Mapa final'!#REF!="Muy Baja",'Mapa final'!#REF!="Leve"),CONCATENATE("R3C",'Mapa final'!#REF!),"")</f>
        <v>#REF!</v>
      </c>
      <c r="N48" s="46" t="e">
        <f>IF(AND('Mapa final'!#REF!="Muy Baja",'Mapa final'!#REF!="Leve"),CONCATENATE("R3C",'Mapa final'!#REF!),"")</f>
        <v>#REF!</v>
      </c>
      <c r="O48" s="47" t="e">
        <f>IF(AND('Mapa final'!#REF!="Muy Baja",'Mapa final'!#REF!="Leve"),CONCATENATE("R3C",'Mapa final'!#REF!),"")</f>
        <v>#REF!</v>
      </c>
      <c r="P48" s="45" t="str">
        <f>IF(AND('Mapa final'!$Y$26="Muy Baja",'Mapa final'!$AA$26="Menor"),CONCATENATE("R3C",'Mapa final'!$O$26),"")</f>
        <v/>
      </c>
      <c r="Q48" s="46" t="str">
        <f>IF(AND('Mapa final'!$Y$27="Muy Baja",'Mapa final'!$AA$27="Menor"),CONCATENATE("R3C",'Mapa final'!$O$27),"")</f>
        <v/>
      </c>
      <c r="R48" s="46" t="str">
        <f>IF(AND('Mapa final'!$Y$28="Muy Baja",'Mapa final'!$AA$28="Menor"),CONCATENATE("R3C",'Mapa final'!$O$28),"")</f>
        <v/>
      </c>
      <c r="S48" s="46" t="e">
        <f>IF(AND('Mapa final'!#REF!="Muy Baja",'Mapa final'!#REF!="Menor"),CONCATENATE("R3C",'Mapa final'!#REF!),"")</f>
        <v>#REF!</v>
      </c>
      <c r="T48" s="46" t="e">
        <f>IF(AND('Mapa final'!#REF!="Muy Baja",'Mapa final'!#REF!="Menor"),CONCATENATE("R3C",'Mapa final'!#REF!),"")</f>
        <v>#REF!</v>
      </c>
      <c r="U48" s="47" t="e">
        <f>IF(AND('Mapa final'!#REF!="Muy Baja",'Mapa final'!#REF!="Menor"),CONCATENATE("R3C",'Mapa final'!#REF!),"")</f>
        <v>#REF!</v>
      </c>
      <c r="V48" s="36" t="str">
        <f>IF(AND('Mapa final'!$Y$26="Muy Baja",'Mapa final'!$AA$26="Moderado"),CONCATENATE("R3C",'Mapa final'!$O$26),"")</f>
        <v/>
      </c>
      <c r="W48" s="37" t="str">
        <f>IF(AND('Mapa final'!$Y$27="Muy Baja",'Mapa final'!$AA$27="Moderado"),CONCATENATE("R3C",'Mapa final'!$O$27),"")</f>
        <v/>
      </c>
      <c r="X48" s="37" t="str">
        <f>IF(AND('Mapa final'!$Y$28="Muy Baja",'Mapa final'!$AA$28="Moderado"),CONCATENATE("R3C",'Mapa final'!$O$28),"")</f>
        <v/>
      </c>
      <c r="Y48" s="37" t="e">
        <f>IF(AND('Mapa final'!#REF!="Muy Baja",'Mapa final'!#REF!="Moderado"),CONCATENATE("R3C",'Mapa final'!#REF!),"")</f>
        <v>#REF!</v>
      </c>
      <c r="Z48" s="37" t="e">
        <f>IF(AND('Mapa final'!#REF!="Muy Baja",'Mapa final'!#REF!="Moderado"),CONCATENATE("R3C",'Mapa final'!#REF!),"")</f>
        <v>#REF!</v>
      </c>
      <c r="AA48" s="38" t="e">
        <f>IF(AND('Mapa final'!#REF!="Muy Baja",'Mapa final'!#REF!="Moderado"),CONCATENATE("R3C",'Mapa final'!#REF!),"")</f>
        <v>#REF!</v>
      </c>
      <c r="AB48" s="21" t="str">
        <f>IF(AND('Mapa final'!$Y$26="Muy Baja",'Mapa final'!$AA$26="Mayor"),CONCATENATE("R3C",'Mapa final'!$O$26),"")</f>
        <v/>
      </c>
      <c r="AC48" s="22" t="str">
        <f>IF(AND('Mapa final'!$Y$27="Muy Baja",'Mapa final'!$AA$27="Mayor"),CONCATENATE("R3C",'Mapa final'!$O$27),"")</f>
        <v/>
      </c>
      <c r="AD48" s="22" t="str">
        <f>IF(AND('Mapa final'!$Y$28="Muy Baja",'Mapa final'!$AA$28="Mayor"),CONCATENATE("R3C",'Mapa final'!$O$28),"")</f>
        <v/>
      </c>
      <c r="AE48" s="22" t="e">
        <f>IF(AND('Mapa final'!#REF!="Muy Baja",'Mapa final'!#REF!="Mayor"),CONCATENATE("R3C",'Mapa final'!#REF!),"")</f>
        <v>#REF!</v>
      </c>
      <c r="AF48" s="22" t="e">
        <f>IF(AND('Mapa final'!#REF!="Muy Baja",'Mapa final'!#REF!="Mayor"),CONCATENATE("R3C",'Mapa final'!#REF!),"")</f>
        <v>#REF!</v>
      </c>
      <c r="AG48" s="23" t="e">
        <f>IF(AND('Mapa final'!#REF!="Muy Baja",'Mapa final'!#REF!="Mayor"),CONCATENATE("R3C",'Mapa final'!#REF!),"")</f>
        <v>#REF!</v>
      </c>
      <c r="AH48" s="24" t="str">
        <f>IF(AND('Mapa final'!$Y$26="Muy Baja",'Mapa final'!$AA$26="Catastrófico"),CONCATENATE("R3C",'Mapa final'!$O$26),"")</f>
        <v/>
      </c>
      <c r="AI48" s="25" t="str">
        <f>IF(AND('Mapa final'!$Y$27="Muy Baja",'Mapa final'!$AA$27="Catastrófico"),CONCATENATE("R3C",'Mapa final'!$O$27),"")</f>
        <v/>
      </c>
      <c r="AJ48" s="25" t="str">
        <f>IF(AND('Mapa final'!$Y$28="Muy Baja",'Mapa final'!$AA$28="Catastrófico"),CONCATENATE("R3C",'Mapa final'!$O$28),"")</f>
        <v/>
      </c>
      <c r="AK48" s="25" t="e">
        <f>IF(AND('Mapa final'!#REF!="Muy Baja",'Mapa final'!#REF!="Catastrófico"),CONCATENATE("R3C",'Mapa final'!#REF!),"")</f>
        <v>#REF!</v>
      </c>
      <c r="AL48" s="25" t="e">
        <f>IF(AND('Mapa final'!#REF!="Muy Baja",'Mapa final'!#REF!="Catastrófico"),CONCATENATE("R3C",'Mapa final'!#REF!),"")</f>
        <v>#REF!</v>
      </c>
      <c r="AM48" s="26" t="e">
        <f>IF(AND('Mapa final'!#REF!="Muy Baja",'Mapa final'!#REF!="Catastrófico"),CONCATENATE("R3C",'Mapa final'!#REF!),"")</f>
        <v>#REF!</v>
      </c>
      <c r="AN48" s="1"/>
      <c r="AO48" s="1"/>
      <c r="AP48" s="1"/>
      <c r="AQ48" s="1"/>
      <c r="AR48" s="1"/>
      <c r="AS48" s="1"/>
      <c r="AT48" s="1"/>
    </row>
    <row r="49" spans="2:39" ht="15" customHeight="1" x14ac:dyDescent="0.35">
      <c r="B49" s="263"/>
      <c r="C49" s="218"/>
      <c r="D49" s="219"/>
      <c r="E49" s="230"/>
      <c r="F49" s="218"/>
      <c r="G49" s="218"/>
      <c r="H49" s="218"/>
      <c r="I49" s="219"/>
      <c r="J49" s="45" t="str">
        <f>IF(AND('Mapa final'!$Y$31="Muy Baja",'Mapa final'!$AA$31="Leve"),CONCATENATE("R4C",'Mapa final'!$O$31),"")</f>
        <v/>
      </c>
      <c r="K49" s="46" t="str">
        <f>IF(AND('Mapa final'!$Y$32="Muy Baja",'Mapa final'!$AA$32="Leve"),CONCATENATE("R4C",'Mapa final'!$O$32),"")</f>
        <v/>
      </c>
      <c r="L49" s="46" t="e">
        <f>IF(AND('Mapa final'!#REF!="Muy Baja",'Mapa final'!#REF!="Leve"),CONCATENATE("R4C",'Mapa final'!#REF!),"")</f>
        <v>#REF!</v>
      </c>
      <c r="M49" s="46" t="str">
        <f>IF(AND('Mapa final'!$Y$33="Muy Baja",'Mapa final'!$AA$33="Leve"),CONCATENATE("R4C",'Mapa final'!$O$33),"")</f>
        <v/>
      </c>
      <c r="N49" s="46" t="e">
        <f>IF(AND('Mapa final'!#REF!="Muy Baja",'Mapa final'!#REF!="Leve"),CONCATENATE("R4C",'Mapa final'!#REF!),"")</f>
        <v>#REF!</v>
      </c>
      <c r="O49" s="47" t="e">
        <f>IF(AND('Mapa final'!#REF!="Muy Baja",'Mapa final'!#REF!="Leve"),CONCATENATE("R4C",'Mapa final'!#REF!),"")</f>
        <v>#REF!</v>
      </c>
      <c r="P49" s="45" t="str">
        <f>IF(AND('Mapa final'!$Y$31="Muy Baja",'Mapa final'!$AA$31="Menor"),CONCATENATE("R4C",'Mapa final'!$O$31),"")</f>
        <v/>
      </c>
      <c r="Q49" s="46" t="str">
        <f>IF(AND('Mapa final'!$Y$32="Muy Baja",'Mapa final'!$AA$32="Menor"),CONCATENATE("R4C",'Mapa final'!$O$32),"")</f>
        <v/>
      </c>
      <c r="R49" s="46" t="e">
        <f>IF(AND('Mapa final'!#REF!="Muy Baja",'Mapa final'!#REF!="Menor"),CONCATENATE("R4C",'Mapa final'!#REF!),"")</f>
        <v>#REF!</v>
      </c>
      <c r="S49" s="46" t="str">
        <f>IF(AND('Mapa final'!$Y$33="Muy Baja",'Mapa final'!$AA$33="Menor"),CONCATENATE("R4C",'Mapa final'!$O$33),"")</f>
        <v/>
      </c>
      <c r="T49" s="46" t="e">
        <f>IF(AND('Mapa final'!#REF!="Muy Baja",'Mapa final'!#REF!="Menor"),CONCATENATE("R4C",'Mapa final'!#REF!),"")</f>
        <v>#REF!</v>
      </c>
      <c r="U49" s="47" t="e">
        <f>IF(AND('Mapa final'!#REF!="Muy Baja",'Mapa final'!#REF!="Menor"),CONCATENATE("R4C",'Mapa final'!#REF!),"")</f>
        <v>#REF!</v>
      </c>
      <c r="V49" s="36" t="str">
        <f>IF(AND('Mapa final'!$Y$31="Muy Baja",'Mapa final'!$AA$31="Moderado"),CONCATENATE("R4C",'Mapa final'!$O$31),"")</f>
        <v/>
      </c>
      <c r="W49" s="37" t="str">
        <f>IF(AND('Mapa final'!$Y$32="Muy Baja",'Mapa final'!$AA$32="Moderado"),CONCATENATE("R4C",'Mapa final'!$O$32),"")</f>
        <v/>
      </c>
      <c r="X49" s="37" t="e">
        <f>IF(AND('Mapa final'!#REF!="Muy Baja",'Mapa final'!#REF!="Moderado"),CONCATENATE("R4C",'Mapa final'!#REF!),"")</f>
        <v>#REF!</v>
      </c>
      <c r="Y49" s="37" t="str">
        <f>IF(AND('Mapa final'!$Y$33="Muy Baja",'Mapa final'!$AA$33="Moderado"),CONCATENATE("R4C",'Mapa final'!$O$33),"")</f>
        <v/>
      </c>
      <c r="Z49" s="37" t="e">
        <f>IF(AND('Mapa final'!#REF!="Muy Baja",'Mapa final'!#REF!="Moderado"),CONCATENATE("R4C",'Mapa final'!#REF!),"")</f>
        <v>#REF!</v>
      </c>
      <c r="AA49" s="38" t="e">
        <f>IF(AND('Mapa final'!#REF!="Muy Baja",'Mapa final'!#REF!="Moderado"),CONCATENATE("R4C",'Mapa final'!#REF!),"")</f>
        <v>#REF!</v>
      </c>
      <c r="AB49" s="21" t="str">
        <f>IF(AND('Mapa final'!$Y$31="Muy Baja",'Mapa final'!$AA$31="Mayor"),CONCATENATE("R4C",'Mapa final'!$O$31),"")</f>
        <v/>
      </c>
      <c r="AC49" s="22" t="str">
        <f>IF(AND('Mapa final'!$Y$32="Muy Baja",'Mapa final'!$AA$32="Mayor"),CONCATENATE("R4C",'Mapa final'!$O$32),"")</f>
        <v/>
      </c>
      <c r="AD49" s="22" t="e">
        <f>IF(AND('Mapa final'!#REF!="Muy Baja",'Mapa final'!#REF!="Mayor"),CONCATENATE("R4C",'Mapa final'!#REF!),"")</f>
        <v>#REF!</v>
      </c>
      <c r="AE49" s="22" t="str">
        <f>IF(AND('Mapa final'!$Y$33="Muy Baja",'Mapa final'!$AA$33="Mayor"),CONCATENATE("R4C",'Mapa final'!$O$33),"")</f>
        <v/>
      </c>
      <c r="AF49" s="22" t="e">
        <f>IF(AND('Mapa final'!#REF!="Muy Baja",'Mapa final'!#REF!="Mayor"),CONCATENATE("R4C",'Mapa final'!#REF!),"")</f>
        <v>#REF!</v>
      </c>
      <c r="AG49" s="23" t="e">
        <f>IF(AND('Mapa final'!#REF!="Muy Baja",'Mapa final'!#REF!="Mayor"),CONCATENATE("R4C",'Mapa final'!#REF!),"")</f>
        <v>#REF!</v>
      </c>
      <c r="AH49" s="24" t="str">
        <f>IF(AND('Mapa final'!$Y$31="Muy Baja",'Mapa final'!$AA$31="Catastrófico"),CONCATENATE("R4C",'Mapa final'!$O$31),"")</f>
        <v/>
      </c>
      <c r="AI49" s="25" t="str">
        <f>IF(AND('Mapa final'!$Y$32="Muy Baja",'Mapa final'!$AA$32="Catastrófico"),CONCATENATE("R4C",'Mapa final'!$O$32),"")</f>
        <v/>
      </c>
      <c r="AJ49" s="25" t="e">
        <f>IF(AND('Mapa final'!#REF!="Muy Baja",'Mapa final'!#REF!="Catastrófico"),CONCATENATE("R4C",'Mapa final'!#REF!),"")</f>
        <v>#REF!</v>
      </c>
      <c r="AK49" s="25" t="str">
        <f>IF(AND('Mapa final'!$Y$33="Muy Baja",'Mapa final'!$AA$33="Catastrófico"),CONCATENATE("R4C",'Mapa final'!$O$33),"")</f>
        <v/>
      </c>
      <c r="AL49" s="25" t="e">
        <f>IF(AND('Mapa final'!#REF!="Muy Baja",'Mapa final'!#REF!="Catastrófico"),CONCATENATE("R4C",'Mapa final'!#REF!),"")</f>
        <v>#REF!</v>
      </c>
      <c r="AM49" s="26" t="e">
        <f>IF(AND('Mapa final'!#REF!="Muy Baja",'Mapa final'!#REF!="Catastrófico"),CONCATENATE("R4C",'Mapa final'!#REF!),"")</f>
        <v>#REF!</v>
      </c>
    </row>
    <row r="50" spans="2:39" ht="15" customHeight="1" x14ac:dyDescent="0.35">
      <c r="B50" s="263"/>
      <c r="C50" s="218"/>
      <c r="D50" s="219"/>
      <c r="E50" s="230"/>
      <c r="F50" s="218"/>
      <c r="G50" s="218"/>
      <c r="H50" s="218"/>
      <c r="I50" s="219"/>
      <c r="J50" s="45" t="str">
        <f>IF(AND('Mapa final'!$Y$36="Muy Baja",'Mapa final'!$AA$36="Leve"),CONCATENATE("R5C",'Mapa final'!$O$36),"")</f>
        <v/>
      </c>
      <c r="K50" s="46" t="str">
        <f>IF(AND('Mapa final'!$Y$37="Muy Baja",'Mapa final'!$AA$37="Leve"),CONCATENATE("R5C",'Mapa final'!$O$37),"")</f>
        <v/>
      </c>
      <c r="L50" s="46" t="str">
        <f>IF(AND('Mapa final'!$Y$38="Muy Baja",'Mapa final'!$AA$38="Leve"),CONCATENATE("R5C",'Mapa final'!$O$38),"")</f>
        <v/>
      </c>
      <c r="M50" s="46" t="e">
        <f>IF(AND('Mapa final'!#REF!="Muy Baja",'Mapa final'!#REF!="Leve"),CONCATENATE("R5C",'Mapa final'!#REF!),"")</f>
        <v>#REF!</v>
      </c>
      <c r="N50" s="46" t="e">
        <f>IF(AND('Mapa final'!#REF!="Muy Baja",'Mapa final'!#REF!="Leve"),CONCATENATE("R5C",'Mapa final'!#REF!),"")</f>
        <v>#REF!</v>
      </c>
      <c r="O50" s="47" t="e">
        <f>IF(AND('Mapa final'!#REF!="Muy Baja",'Mapa final'!#REF!="Leve"),CONCATENATE("R5C",'Mapa final'!#REF!),"")</f>
        <v>#REF!</v>
      </c>
      <c r="P50" s="45" t="str">
        <f>IF(AND('Mapa final'!$Y$36="Muy Baja",'Mapa final'!$AA$36="Menor"),CONCATENATE("R5C",'Mapa final'!$O$36),"")</f>
        <v/>
      </c>
      <c r="Q50" s="46" t="str">
        <f>IF(AND('Mapa final'!$Y$37="Muy Baja",'Mapa final'!$AA$37="Menor"),CONCATENATE("R5C",'Mapa final'!$O$37),"")</f>
        <v/>
      </c>
      <c r="R50" s="46" t="str">
        <f>IF(AND('Mapa final'!$Y$38="Muy Baja",'Mapa final'!$AA$38="Menor"),CONCATENATE("R5C",'Mapa final'!$O$38),"")</f>
        <v/>
      </c>
      <c r="S50" s="46" t="e">
        <f>IF(AND('Mapa final'!#REF!="Muy Baja",'Mapa final'!#REF!="Menor"),CONCATENATE("R5C",'Mapa final'!#REF!),"")</f>
        <v>#REF!</v>
      </c>
      <c r="T50" s="46" t="e">
        <f>IF(AND('Mapa final'!#REF!="Muy Baja",'Mapa final'!#REF!="Menor"),CONCATENATE("R5C",'Mapa final'!#REF!),"")</f>
        <v>#REF!</v>
      </c>
      <c r="U50" s="47" t="e">
        <f>IF(AND('Mapa final'!#REF!="Muy Baja",'Mapa final'!#REF!="Menor"),CONCATENATE("R5C",'Mapa final'!#REF!),"")</f>
        <v>#REF!</v>
      </c>
      <c r="V50" s="36" t="str">
        <f>IF(AND('Mapa final'!$Y$36="Muy Baja",'Mapa final'!$AA$36="Moderado"),CONCATENATE("R5C",'Mapa final'!$O$36),"")</f>
        <v/>
      </c>
      <c r="W50" s="37" t="str">
        <f>IF(AND('Mapa final'!$Y$37="Muy Baja",'Mapa final'!$AA$37="Moderado"),CONCATENATE("R5C",'Mapa final'!$O$37),"")</f>
        <v/>
      </c>
      <c r="X50" s="37" t="str">
        <f>IF(AND('Mapa final'!$Y$38="Muy Baja",'Mapa final'!$AA$38="Moderado"),CONCATENATE("R5C",'Mapa final'!$O$38),"")</f>
        <v/>
      </c>
      <c r="Y50" s="37" t="e">
        <f>IF(AND('Mapa final'!#REF!="Muy Baja",'Mapa final'!#REF!="Moderado"),CONCATENATE("R5C",'Mapa final'!#REF!),"")</f>
        <v>#REF!</v>
      </c>
      <c r="Z50" s="37" t="e">
        <f>IF(AND('Mapa final'!#REF!="Muy Baja",'Mapa final'!#REF!="Moderado"),CONCATENATE("R5C",'Mapa final'!#REF!),"")</f>
        <v>#REF!</v>
      </c>
      <c r="AA50" s="38" t="e">
        <f>IF(AND('Mapa final'!#REF!="Muy Baja",'Mapa final'!#REF!="Moderado"),CONCATENATE("R5C",'Mapa final'!#REF!),"")</f>
        <v>#REF!</v>
      </c>
      <c r="AB50" s="21" t="str">
        <f>IF(AND('Mapa final'!$Y$36="Muy Baja",'Mapa final'!$AA$36="Mayor"),CONCATENATE("R5C",'Mapa final'!$O$36),"")</f>
        <v/>
      </c>
      <c r="AC50" s="22" t="str">
        <f>IF(AND('Mapa final'!$Y$37="Muy Baja",'Mapa final'!$AA$37="Mayor"),CONCATENATE("R5C",'Mapa final'!$O$37),"")</f>
        <v/>
      </c>
      <c r="AD50" s="22" t="str">
        <f>IF(AND('Mapa final'!$Y$38="Muy Baja",'Mapa final'!$AA$38="Mayor"),CONCATENATE("R5C",'Mapa final'!$O$38),"")</f>
        <v/>
      </c>
      <c r="AE50" s="22" t="e">
        <f>IF(AND('Mapa final'!#REF!="Muy Baja",'Mapa final'!#REF!="Mayor"),CONCATENATE("R5C",'Mapa final'!#REF!),"")</f>
        <v>#REF!</v>
      </c>
      <c r="AF50" s="22" t="e">
        <f>IF(AND('Mapa final'!#REF!="Muy Baja",'Mapa final'!#REF!="Mayor"),CONCATENATE("R5C",'Mapa final'!#REF!),"")</f>
        <v>#REF!</v>
      </c>
      <c r="AG50" s="23" t="e">
        <f>IF(AND('Mapa final'!#REF!="Muy Baja",'Mapa final'!#REF!="Mayor"),CONCATENATE("R5C",'Mapa final'!#REF!),"")</f>
        <v>#REF!</v>
      </c>
      <c r="AH50" s="24" t="str">
        <f>IF(AND('Mapa final'!$Y$36="Muy Baja",'Mapa final'!$AA$36="Catastrófico"),CONCATENATE("R5C",'Mapa final'!$O$36),"")</f>
        <v/>
      </c>
      <c r="AI50" s="25" t="str">
        <f>IF(AND('Mapa final'!$Y$37="Muy Baja",'Mapa final'!$AA$37="Catastrófico"),CONCATENATE("R5C",'Mapa final'!$O$37),"")</f>
        <v/>
      </c>
      <c r="AJ50" s="25" t="str">
        <f>IF(AND('Mapa final'!$Y$38="Muy Baja",'Mapa final'!$AA$38="Catastrófico"),CONCATENATE("R5C",'Mapa final'!$O$38),"")</f>
        <v/>
      </c>
      <c r="AK50" s="25" t="e">
        <f>IF(AND('Mapa final'!#REF!="Muy Baja",'Mapa final'!#REF!="Catastrófico"),CONCATENATE("R5C",'Mapa final'!#REF!),"")</f>
        <v>#REF!</v>
      </c>
      <c r="AL50" s="25" t="e">
        <f>IF(AND('Mapa final'!#REF!="Muy Baja",'Mapa final'!#REF!="Catastrófico"),CONCATENATE("R5C",'Mapa final'!#REF!),"")</f>
        <v>#REF!</v>
      </c>
      <c r="AM50" s="26" t="e">
        <f>IF(AND('Mapa final'!#REF!="Muy Baja",'Mapa final'!#REF!="Catastrófico"),CONCATENATE("R5C",'Mapa final'!#REF!),"")</f>
        <v>#REF!</v>
      </c>
    </row>
    <row r="51" spans="2:39" ht="15" customHeight="1" x14ac:dyDescent="0.35">
      <c r="B51" s="263"/>
      <c r="C51" s="218"/>
      <c r="D51" s="219"/>
      <c r="E51" s="230"/>
      <c r="F51" s="218"/>
      <c r="G51" s="218"/>
      <c r="H51" s="218"/>
      <c r="I51" s="219"/>
      <c r="J51" s="45" t="str">
        <f>IF(AND('Mapa final'!$Y$41="Muy Baja",'Mapa final'!$AA$41="Leve"),CONCATENATE("R6C",'Mapa final'!$O$41),"")</f>
        <v/>
      </c>
      <c r="K51" s="46" t="str">
        <f>IF(AND('Mapa final'!$Y$42="Muy Baja",'Mapa final'!$AA$42="Leve"),CONCATENATE("R6C",'Mapa final'!$O$42),"")</f>
        <v/>
      </c>
      <c r="L51" s="46" t="str">
        <f>IF(AND('Mapa final'!$Y$43="Muy Baja",'Mapa final'!$AA$43="Leve"),CONCATENATE("R6C",'Mapa final'!$O$43),"")</f>
        <v/>
      </c>
      <c r="M51" s="46" t="e">
        <f>IF(AND('Mapa final'!#REF!="Muy Baja",'Mapa final'!#REF!="Leve"),CONCATENATE("R6C",'Mapa final'!#REF!),"")</f>
        <v>#REF!</v>
      </c>
      <c r="N51" s="46" t="e">
        <f>IF(AND('Mapa final'!#REF!="Muy Baja",'Mapa final'!#REF!="Leve"),CONCATENATE("R6C",'Mapa final'!#REF!),"")</f>
        <v>#REF!</v>
      </c>
      <c r="O51" s="47" t="e">
        <f>IF(AND('Mapa final'!#REF!="Muy Baja",'Mapa final'!#REF!="Leve"),CONCATENATE("R6C",'Mapa final'!#REF!),"")</f>
        <v>#REF!</v>
      </c>
      <c r="P51" s="45" t="str">
        <f>IF(AND('Mapa final'!$Y$41="Muy Baja",'Mapa final'!$AA$41="Menor"),CONCATENATE("R6C",'Mapa final'!$O$41),"")</f>
        <v/>
      </c>
      <c r="Q51" s="46" t="str">
        <f>IF(AND('Mapa final'!$Y$42="Muy Baja",'Mapa final'!$AA$42="Menor"),CONCATENATE("R6C",'Mapa final'!$O$42),"")</f>
        <v/>
      </c>
      <c r="R51" s="46" t="str">
        <f>IF(AND('Mapa final'!$Y$43="Muy Baja",'Mapa final'!$AA$43="Menor"),CONCATENATE("R6C",'Mapa final'!$O$43),"")</f>
        <v/>
      </c>
      <c r="S51" s="46" t="e">
        <f>IF(AND('Mapa final'!#REF!="Muy Baja",'Mapa final'!#REF!="Menor"),CONCATENATE("R6C",'Mapa final'!#REF!),"")</f>
        <v>#REF!</v>
      </c>
      <c r="T51" s="46" t="e">
        <f>IF(AND('Mapa final'!#REF!="Muy Baja",'Mapa final'!#REF!="Menor"),CONCATENATE("R6C",'Mapa final'!#REF!),"")</f>
        <v>#REF!</v>
      </c>
      <c r="U51" s="47" t="e">
        <f>IF(AND('Mapa final'!#REF!="Muy Baja",'Mapa final'!#REF!="Menor"),CONCATENATE("R6C",'Mapa final'!#REF!),"")</f>
        <v>#REF!</v>
      </c>
      <c r="V51" s="36" t="str">
        <f>IF(AND('Mapa final'!$Y$41="Muy Baja",'Mapa final'!$AA$41="Moderado"),CONCATENATE("R6C",'Mapa final'!$O$41),"")</f>
        <v/>
      </c>
      <c r="W51" s="37" t="str">
        <f>IF(AND('Mapa final'!$Y$42="Muy Baja",'Mapa final'!$AA$42="Moderado"),CONCATENATE("R6C",'Mapa final'!$O$42),"")</f>
        <v/>
      </c>
      <c r="X51" s="37" t="str">
        <f>IF(AND('Mapa final'!$Y$43="Muy Baja",'Mapa final'!$AA$43="Moderado"),CONCATENATE("R6C",'Mapa final'!$O$43),"")</f>
        <v/>
      </c>
      <c r="Y51" s="37" t="e">
        <f>IF(AND('Mapa final'!#REF!="Muy Baja",'Mapa final'!#REF!="Moderado"),CONCATENATE("R6C",'Mapa final'!#REF!),"")</f>
        <v>#REF!</v>
      </c>
      <c r="Z51" s="37" t="e">
        <f>IF(AND('Mapa final'!#REF!="Muy Baja",'Mapa final'!#REF!="Moderado"),CONCATENATE("R6C",'Mapa final'!#REF!),"")</f>
        <v>#REF!</v>
      </c>
      <c r="AA51" s="38" t="e">
        <f>IF(AND('Mapa final'!#REF!="Muy Baja",'Mapa final'!#REF!="Moderado"),CONCATENATE("R6C",'Mapa final'!#REF!),"")</f>
        <v>#REF!</v>
      </c>
      <c r="AB51" s="21" t="str">
        <f>IF(AND('Mapa final'!$Y$41="Muy Baja",'Mapa final'!$AA$41="Mayor"),CONCATENATE("R6C",'Mapa final'!$O$41),"")</f>
        <v/>
      </c>
      <c r="AC51" s="22" t="str">
        <f>IF(AND('Mapa final'!$Y$42="Muy Baja",'Mapa final'!$AA$42="Mayor"),CONCATENATE("R6C",'Mapa final'!$O$42),"")</f>
        <v/>
      </c>
      <c r="AD51" s="22" t="str">
        <f>IF(AND('Mapa final'!$Y$43="Muy Baja",'Mapa final'!$AA$43="Mayor"),CONCATENATE("R6C",'Mapa final'!$O$43),"")</f>
        <v/>
      </c>
      <c r="AE51" s="22" t="e">
        <f>IF(AND('Mapa final'!#REF!="Muy Baja",'Mapa final'!#REF!="Mayor"),CONCATENATE("R6C",'Mapa final'!#REF!),"")</f>
        <v>#REF!</v>
      </c>
      <c r="AF51" s="22" t="e">
        <f>IF(AND('Mapa final'!#REF!="Muy Baja",'Mapa final'!#REF!="Mayor"),CONCATENATE("R6C",'Mapa final'!#REF!),"")</f>
        <v>#REF!</v>
      </c>
      <c r="AG51" s="23" t="e">
        <f>IF(AND('Mapa final'!#REF!="Muy Baja",'Mapa final'!#REF!="Mayor"),CONCATENATE("R6C",'Mapa final'!#REF!),"")</f>
        <v>#REF!</v>
      </c>
      <c r="AH51" s="24" t="str">
        <f>IF(AND('Mapa final'!$Y$41="Muy Baja",'Mapa final'!$AA$41="Catastrófico"),CONCATENATE("R6C",'Mapa final'!$O$41),"")</f>
        <v/>
      </c>
      <c r="AI51" s="25" t="str">
        <f>IF(AND('Mapa final'!$Y$42="Muy Baja",'Mapa final'!$AA$42="Catastrófico"),CONCATENATE("R6C",'Mapa final'!$O$42),"")</f>
        <v/>
      </c>
      <c r="AJ51" s="25" t="str">
        <f>IF(AND('Mapa final'!$Y$43="Muy Baja",'Mapa final'!$AA$43="Catastrófico"),CONCATENATE("R6C",'Mapa final'!$O$43),"")</f>
        <v/>
      </c>
      <c r="AK51" s="25" t="e">
        <f>IF(AND('Mapa final'!#REF!="Muy Baja",'Mapa final'!#REF!="Catastrófico"),CONCATENATE("R6C",'Mapa final'!#REF!),"")</f>
        <v>#REF!</v>
      </c>
      <c r="AL51" s="25" t="e">
        <f>IF(AND('Mapa final'!#REF!="Muy Baja",'Mapa final'!#REF!="Catastrófico"),CONCATENATE("R6C",'Mapa final'!#REF!),"")</f>
        <v>#REF!</v>
      </c>
      <c r="AM51" s="26" t="e">
        <f>IF(AND('Mapa final'!#REF!="Muy Baja",'Mapa final'!#REF!="Catastrófico"),CONCATENATE("R6C",'Mapa final'!#REF!),"")</f>
        <v>#REF!</v>
      </c>
    </row>
    <row r="52" spans="2:39" ht="15" customHeight="1" x14ac:dyDescent="0.35">
      <c r="B52" s="263"/>
      <c r="C52" s="218"/>
      <c r="D52" s="219"/>
      <c r="E52" s="230"/>
      <c r="F52" s="218"/>
      <c r="G52" s="218"/>
      <c r="H52" s="218"/>
      <c r="I52" s="219"/>
      <c r="J52" s="45" t="e">
        <f>IF(AND('Mapa final'!#REF!="Muy Baja",'Mapa final'!#REF!="Leve"),CONCATENATE("R7C",'Mapa final'!#REF!),"")</f>
        <v>#REF!</v>
      </c>
      <c r="K52" s="46" t="e">
        <f>IF(AND('Mapa final'!#REF!="Muy Baja",'Mapa final'!#REF!="Leve"),CONCATENATE("R7C",'Mapa final'!#REF!),"")</f>
        <v>#REF!</v>
      </c>
      <c r="L52" s="46" t="e">
        <f>IF(AND('Mapa final'!#REF!="Muy Baja",'Mapa final'!#REF!="Leve"),CONCATENATE("R7C",'Mapa final'!#REF!),"")</f>
        <v>#REF!</v>
      </c>
      <c r="M52" s="46" t="e">
        <f>IF(AND('Mapa final'!#REF!="Muy Baja",'Mapa final'!#REF!="Leve"),CONCATENATE("R7C",'Mapa final'!#REF!),"")</f>
        <v>#REF!</v>
      </c>
      <c r="N52" s="46" t="e">
        <f>IF(AND('Mapa final'!#REF!="Muy Baja",'Mapa final'!#REF!="Leve"),CONCATENATE("R7C",'Mapa final'!#REF!),"")</f>
        <v>#REF!</v>
      </c>
      <c r="O52" s="47" t="e">
        <f>IF(AND('Mapa final'!#REF!="Muy Baja",'Mapa final'!#REF!="Leve"),CONCATENATE("R7C",'Mapa final'!#REF!),"")</f>
        <v>#REF!</v>
      </c>
      <c r="P52" s="45" t="e">
        <f>IF(AND('Mapa final'!#REF!="Muy Baja",'Mapa final'!#REF!="Menor"),CONCATENATE("R7C",'Mapa final'!#REF!),"")</f>
        <v>#REF!</v>
      </c>
      <c r="Q52" s="46" t="e">
        <f>IF(AND('Mapa final'!#REF!="Muy Baja",'Mapa final'!#REF!="Menor"),CONCATENATE("R7C",'Mapa final'!#REF!),"")</f>
        <v>#REF!</v>
      </c>
      <c r="R52" s="46" t="e">
        <f>IF(AND('Mapa final'!#REF!="Muy Baja",'Mapa final'!#REF!="Menor"),CONCATENATE("R7C",'Mapa final'!#REF!),"")</f>
        <v>#REF!</v>
      </c>
      <c r="S52" s="46" t="e">
        <f>IF(AND('Mapa final'!#REF!="Muy Baja",'Mapa final'!#REF!="Menor"),CONCATENATE("R7C",'Mapa final'!#REF!),"")</f>
        <v>#REF!</v>
      </c>
      <c r="T52" s="46" t="e">
        <f>IF(AND('Mapa final'!#REF!="Muy Baja",'Mapa final'!#REF!="Menor"),CONCATENATE("R7C",'Mapa final'!#REF!),"")</f>
        <v>#REF!</v>
      </c>
      <c r="U52" s="47" t="e">
        <f>IF(AND('Mapa final'!#REF!="Muy Baja",'Mapa final'!#REF!="Menor"),CONCATENATE("R7C",'Mapa final'!#REF!),"")</f>
        <v>#REF!</v>
      </c>
      <c r="V52" s="36" t="e">
        <f>IF(AND('Mapa final'!#REF!="Muy Baja",'Mapa final'!#REF!="Moderado"),CONCATENATE("R7C",'Mapa final'!#REF!),"")</f>
        <v>#REF!</v>
      </c>
      <c r="W52" s="37" t="e">
        <f>IF(AND('Mapa final'!#REF!="Muy Baja",'Mapa final'!#REF!="Moderado"),CONCATENATE("R7C",'Mapa final'!#REF!),"")</f>
        <v>#REF!</v>
      </c>
      <c r="X52" s="37" t="e">
        <f>IF(AND('Mapa final'!#REF!="Muy Baja",'Mapa final'!#REF!="Moderado"),CONCATENATE("R7C",'Mapa final'!#REF!),"")</f>
        <v>#REF!</v>
      </c>
      <c r="Y52" s="37" t="e">
        <f>IF(AND('Mapa final'!#REF!="Muy Baja",'Mapa final'!#REF!="Moderado"),CONCATENATE("R7C",'Mapa final'!#REF!),"")</f>
        <v>#REF!</v>
      </c>
      <c r="Z52" s="37" t="e">
        <f>IF(AND('Mapa final'!#REF!="Muy Baja",'Mapa final'!#REF!="Moderado"),CONCATENATE("R7C",'Mapa final'!#REF!),"")</f>
        <v>#REF!</v>
      </c>
      <c r="AA52" s="38" t="e">
        <f>IF(AND('Mapa final'!#REF!="Muy Baja",'Mapa final'!#REF!="Moderado"),CONCATENATE("R7C",'Mapa final'!#REF!),"")</f>
        <v>#REF!</v>
      </c>
      <c r="AB52" s="21" t="e">
        <f>IF(AND('Mapa final'!#REF!="Muy Baja",'Mapa final'!#REF!="Mayor"),CONCATENATE("R7C",'Mapa final'!#REF!),"")</f>
        <v>#REF!</v>
      </c>
      <c r="AC52" s="22" t="e">
        <f>IF(AND('Mapa final'!#REF!="Muy Baja",'Mapa final'!#REF!="Mayor"),CONCATENATE("R7C",'Mapa final'!#REF!),"")</f>
        <v>#REF!</v>
      </c>
      <c r="AD52" s="22" t="e">
        <f>IF(AND('Mapa final'!#REF!="Muy Baja",'Mapa final'!#REF!="Mayor"),CONCATENATE("R7C",'Mapa final'!#REF!),"")</f>
        <v>#REF!</v>
      </c>
      <c r="AE52" s="22" t="e">
        <f>IF(AND('Mapa final'!#REF!="Muy Baja",'Mapa final'!#REF!="Mayor"),CONCATENATE("R7C",'Mapa final'!#REF!),"")</f>
        <v>#REF!</v>
      </c>
      <c r="AF52" s="22" t="e">
        <f>IF(AND('Mapa final'!#REF!="Muy Baja",'Mapa final'!#REF!="Mayor"),CONCATENATE("R7C",'Mapa final'!#REF!),"")</f>
        <v>#REF!</v>
      </c>
      <c r="AG52" s="23" t="e">
        <f>IF(AND('Mapa final'!#REF!="Muy Baja",'Mapa final'!#REF!="Mayor"),CONCATENATE("R7C",'Mapa final'!#REF!),"")</f>
        <v>#REF!</v>
      </c>
      <c r="AH52" s="24" t="e">
        <f>IF(AND('Mapa final'!#REF!="Muy Baja",'Mapa final'!#REF!="Catastrófico"),CONCATENATE("R7C",'Mapa final'!#REF!),"")</f>
        <v>#REF!</v>
      </c>
      <c r="AI52" s="25" t="e">
        <f>IF(AND('Mapa final'!#REF!="Muy Baja",'Mapa final'!#REF!="Catastrófico"),CONCATENATE("R7C",'Mapa final'!#REF!),"")</f>
        <v>#REF!</v>
      </c>
      <c r="AJ52" s="25" t="e">
        <f>IF(AND('Mapa final'!#REF!="Muy Baja",'Mapa final'!#REF!="Catastrófico"),CONCATENATE("R7C",'Mapa final'!#REF!),"")</f>
        <v>#REF!</v>
      </c>
      <c r="AK52" s="25" t="e">
        <f>IF(AND('Mapa final'!#REF!="Muy Baja",'Mapa final'!#REF!="Catastrófico"),CONCATENATE("R7C",'Mapa final'!#REF!),"")</f>
        <v>#REF!</v>
      </c>
      <c r="AL52" s="25" t="e">
        <f>IF(AND('Mapa final'!#REF!="Muy Baja",'Mapa final'!#REF!="Catastrófico"),CONCATENATE("R7C",'Mapa final'!#REF!),"")</f>
        <v>#REF!</v>
      </c>
      <c r="AM52" s="26" t="e">
        <f>IF(AND('Mapa final'!#REF!="Muy Baja",'Mapa final'!#REF!="Catastrófico"),CONCATENATE("R7C",'Mapa final'!#REF!),"")</f>
        <v>#REF!</v>
      </c>
    </row>
    <row r="53" spans="2:39" ht="15" customHeight="1" x14ac:dyDescent="0.35">
      <c r="B53" s="263"/>
      <c r="C53" s="218"/>
      <c r="D53" s="219"/>
      <c r="E53" s="230"/>
      <c r="F53" s="218"/>
      <c r="G53" s="218"/>
      <c r="H53" s="218"/>
      <c r="I53" s="219"/>
      <c r="J53" s="45" t="e">
        <f>IF(AND('Mapa final'!#REF!="Muy Baja",'Mapa final'!#REF!="Leve"),CONCATENATE("R8C",'Mapa final'!#REF!),"")</f>
        <v>#REF!</v>
      </c>
      <c r="K53" s="46" t="e">
        <f>IF(AND('Mapa final'!#REF!="Muy Baja",'Mapa final'!#REF!="Leve"),CONCATENATE("R8C",'Mapa final'!#REF!),"")</f>
        <v>#REF!</v>
      </c>
      <c r="L53" s="46" t="e">
        <f>IF(AND('Mapa final'!#REF!="Muy Baja",'Mapa final'!#REF!="Leve"),CONCATENATE("R8C",'Mapa final'!#REF!),"")</f>
        <v>#REF!</v>
      </c>
      <c r="M53" s="46" t="e">
        <f>IF(AND('Mapa final'!#REF!="Muy Baja",'Mapa final'!#REF!="Leve"),CONCATENATE("R8C",'Mapa final'!#REF!),"")</f>
        <v>#REF!</v>
      </c>
      <c r="N53" s="46" t="e">
        <f>IF(AND('Mapa final'!#REF!="Muy Baja",'Mapa final'!#REF!="Leve"),CONCATENATE("R8C",'Mapa final'!#REF!),"")</f>
        <v>#REF!</v>
      </c>
      <c r="O53" s="47" t="e">
        <f>IF(AND('Mapa final'!#REF!="Muy Baja",'Mapa final'!#REF!="Leve"),CONCATENATE("R8C",'Mapa final'!#REF!),"")</f>
        <v>#REF!</v>
      </c>
      <c r="P53" s="45" t="e">
        <f>IF(AND('Mapa final'!#REF!="Muy Baja",'Mapa final'!#REF!="Menor"),CONCATENATE("R8C",'Mapa final'!#REF!),"")</f>
        <v>#REF!</v>
      </c>
      <c r="Q53" s="46" t="e">
        <f>IF(AND('Mapa final'!#REF!="Muy Baja",'Mapa final'!#REF!="Menor"),CONCATENATE("R8C",'Mapa final'!#REF!),"")</f>
        <v>#REF!</v>
      </c>
      <c r="R53" s="46" t="e">
        <f>IF(AND('Mapa final'!#REF!="Muy Baja",'Mapa final'!#REF!="Menor"),CONCATENATE("R8C",'Mapa final'!#REF!),"")</f>
        <v>#REF!</v>
      </c>
      <c r="S53" s="46" t="e">
        <f>IF(AND('Mapa final'!#REF!="Muy Baja",'Mapa final'!#REF!="Menor"),CONCATENATE("R8C",'Mapa final'!#REF!),"")</f>
        <v>#REF!</v>
      </c>
      <c r="T53" s="46" t="e">
        <f>IF(AND('Mapa final'!#REF!="Muy Baja",'Mapa final'!#REF!="Menor"),CONCATENATE("R8C",'Mapa final'!#REF!),"")</f>
        <v>#REF!</v>
      </c>
      <c r="U53" s="47" t="e">
        <f>IF(AND('Mapa final'!#REF!="Muy Baja",'Mapa final'!#REF!="Menor"),CONCATENATE("R8C",'Mapa final'!#REF!),"")</f>
        <v>#REF!</v>
      </c>
      <c r="V53" s="36" t="e">
        <f>IF(AND('Mapa final'!#REF!="Muy Baja",'Mapa final'!#REF!="Moderado"),CONCATENATE("R8C",'Mapa final'!#REF!),"")</f>
        <v>#REF!</v>
      </c>
      <c r="W53" s="37" t="e">
        <f>IF(AND('Mapa final'!#REF!="Muy Baja",'Mapa final'!#REF!="Moderado"),CONCATENATE("R8C",'Mapa final'!#REF!),"")</f>
        <v>#REF!</v>
      </c>
      <c r="X53" s="37" t="e">
        <f>IF(AND('Mapa final'!#REF!="Muy Baja",'Mapa final'!#REF!="Moderado"),CONCATENATE("R8C",'Mapa final'!#REF!),"")</f>
        <v>#REF!</v>
      </c>
      <c r="Y53" s="37" t="e">
        <f>IF(AND('Mapa final'!#REF!="Muy Baja",'Mapa final'!#REF!="Moderado"),CONCATENATE("R8C",'Mapa final'!#REF!),"")</f>
        <v>#REF!</v>
      </c>
      <c r="Z53" s="37" t="e">
        <f>IF(AND('Mapa final'!#REF!="Muy Baja",'Mapa final'!#REF!="Moderado"),CONCATENATE("R8C",'Mapa final'!#REF!),"")</f>
        <v>#REF!</v>
      </c>
      <c r="AA53" s="38" t="e">
        <f>IF(AND('Mapa final'!#REF!="Muy Baja",'Mapa final'!#REF!="Moderado"),CONCATENATE("R8C",'Mapa final'!#REF!),"")</f>
        <v>#REF!</v>
      </c>
      <c r="AB53" s="21" t="e">
        <f>IF(AND('Mapa final'!#REF!="Muy Baja",'Mapa final'!#REF!="Mayor"),CONCATENATE("R8C",'Mapa final'!#REF!),"")</f>
        <v>#REF!</v>
      </c>
      <c r="AC53" s="22" t="e">
        <f>IF(AND('Mapa final'!#REF!="Muy Baja",'Mapa final'!#REF!="Mayor"),CONCATENATE("R8C",'Mapa final'!#REF!),"")</f>
        <v>#REF!</v>
      </c>
      <c r="AD53" s="22" t="e">
        <f>IF(AND('Mapa final'!#REF!="Muy Baja",'Mapa final'!#REF!="Mayor"),CONCATENATE("R8C",'Mapa final'!#REF!),"")</f>
        <v>#REF!</v>
      </c>
      <c r="AE53" s="22" t="e">
        <f>IF(AND('Mapa final'!#REF!="Muy Baja",'Mapa final'!#REF!="Mayor"),CONCATENATE("R8C",'Mapa final'!#REF!),"")</f>
        <v>#REF!</v>
      </c>
      <c r="AF53" s="22" t="e">
        <f>IF(AND('Mapa final'!#REF!="Muy Baja",'Mapa final'!#REF!="Mayor"),CONCATENATE("R8C",'Mapa final'!#REF!),"")</f>
        <v>#REF!</v>
      </c>
      <c r="AG53" s="23" t="e">
        <f>IF(AND('Mapa final'!#REF!="Muy Baja",'Mapa final'!#REF!="Mayor"),CONCATENATE("R8C",'Mapa final'!#REF!),"")</f>
        <v>#REF!</v>
      </c>
      <c r="AH53" s="24" t="e">
        <f>IF(AND('Mapa final'!#REF!="Muy Baja",'Mapa final'!#REF!="Catastrófico"),CONCATENATE("R8C",'Mapa final'!#REF!),"")</f>
        <v>#REF!</v>
      </c>
      <c r="AI53" s="25" t="e">
        <f>IF(AND('Mapa final'!#REF!="Muy Baja",'Mapa final'!#REF!="Catastrófico"),CONCATENATE("R8C",'Mapa final'!#REF!),"")</f>
        <v>#REF!</v>
      </c>
      <c r="AJ53" s="25" t="e">
        <f>IF(AND('Mapa final'!#REF!="Muy Baja",'Mapa final'!#REF!="Catastrófico"),CONCATENATE("R8C",'Mapa final'!#REF!),"")</f>
        <v>#REF!</v>
      </c>
      <c r="AK53" s="25" t="e">
        <f>IF(AND('Mapa final'!#REF!="Muy Baja",'Mapa final'!#REF!="Catastrófico"),CONCATENATE("R8C",'Mapa final'!#REF!),"")</f>
        <v>#REF!</v>
      </c>
      <c r="AL53" s="25" t="e">
        <f>IF(AND('Mapa final'!#REF!="Muy Baja",'Mapa final'!#REF!="Catastrófico"),CONCATENATE("R8C",'Mapa final'!#REF!),"")</f>
        <v>#REF!</v>
      </c>
      <c r="AM53" s="26" t="e">
        <f>IF(AND('Mapa final'!#REF!="Muy Baja",'Mapa final'!#REF!="Catastrófico"),CONCATENATE("R8C",'Mapa final'!#REF!),"")</f>
        <v>#REF!</v>
      </c>
    </row>
    <row r="54" spans="2:39" ht="15" customHeight="1" x14ac:dyDescent="0.35">
      <c r="B54" s="263"/>
      <c r="C54" s="218"/>
      <c r="D54" s="219"/>
      <c r="E54" s="230"/>
      <c r="F54" s="218"/>
      <c r="G54" s="218"/>
      <c r="H54" s="218"/>
      <c r="I54" s="219"/>
      <c r="J54" s="45" t="e">
        <f>IF(AND('Mapa final'!#REF!="Muy Baja",'Mapa final'!#REF!="Leve"),CONCATENATE("R9C",'Mapa final'!#REF!),"")</f>
        <v>#REF!</v>
      </c>
      <c r="K54" s="46" t="e">
        <f>IF(AND('Mapa final'!#REF!="Muy Baja",'Mapa final'!#REF!="Leve"),CONCATENATE("R9C",'Mapa final'!#REF!),"")</f>
        <v>#REF!</v>
      </c>
      <c r="L54" s="46" t="e">
        <f>IF(AND('Mapa final'!#REF!="Muy Baja",'Mapa final'!#REF!="Leve"),CONCATENATE("R9C",'Mapa final'!#REF!),"")</f>
        <v>#REF!</v>
      </c>
      <c r="M54" s="46" t="e">
        <f>IF(AND('Mapa final'!#REF!="Muy Baja",'Mapa final'!#REF!="Leve"),CONCATENATE("R9C",'Mapa final'!#REF!),"")</f>
        <v>#REF!</v>
      </c>
      <c r="N54" s="46" t="e">
        <f>IF(AND('Mapa final'!#REF!="Muy Baja",'Mapa final'!#REF!="Leve"),CONCATENATE("R9C",'Mapa final'!#REF!),"")</f>
        <v>#REF!</v>
      </c>
      <c r="O54" s="47" t="e">
        <f>IF(AND('Mapa final'!#REF!="Muy Baja",'Mapa final'!#REF!="Leve"),CONCATENATE("R9C",'Mapa final'!#REF!),"")</f>
        <v>#REF!</v>
      </c>
      <c r="P54" s="45" t="e">
        <f>IF(AND('Mapa final'!#REF!="Muy Baja",'Mapa final'!#REF!="Menor"),CONCATENATE("R9C",'Mapa final'!#REF!),"")</f>
        <v>#REF!</v>
      </c>
      <c r="Q54" s="46" t="e">
        <f>IF(AND('Mapa final'!#REF!="Muy Baja",'Mapa final'!#REF!="Menor"),CONCATENATE("R9C",'Mapa final'!#REF!),"")</f>
        <v>#REF!</v>
      </c>
      <c r="R54" s="46" t="e">
        <f>IF(AND('Mapa final'!#REF!="Muy Baja",'Mapa final'!#REF!="Menor"),CONCATENATE("R9C",'Mapa final'!#REF!),"")</f>
        <v>#REF!</v>
      </c>
      <c r="S54" s="46" t="e">
        <f>IF(AND('Mapa final'!#REF!="Muy Baja",'Mapa final'!#REF!="Menor"),CONCATENATE("R9C",'Mapa final'!#REF!),"")</f>
        <v>#REF!</v>
      </c>
      <c r="T54" s="46" t="e">
        <f>IF(AND('Mapa final'!#REF!="Muy Baja",'Mapa final'!#REF!="Menor"),CONCATENATE("R9C",'Mapa final'!#REF!),"")</f>
        <v>#REF!</v>
      </c>
      <c r="U54" s="47" t="e">
        <f>IF(AND('Mapa final'!#REF!="Muy Baja",'Mapa final'!#REF!="Menor"),CONCATENATE("R9C",'Mapa final'!#REF!),"")</f>
        <v>#REF!</v>
      </c>
      <c r="V54" s="36" t="e">
        <f>IF(AND('Mapa final'!#REF!="Muy Baja",'Mapa final'!#REF!="Moderado"),CONCATENATE("R9C",'Mapa final'!#REF!),"")</f>
        <v>#REF!</v>
      </c>
      <c r="W54" s="37" t="e">
        <f>IF(AND('Mapa final'!#REF!="Muy Baja",'Mapa final'!#REF!="Moderado"),CONCATENATE("R9C",'Mapa final'!#REF!),"")</f>
        <v>#REF!</v>
      </c>
      <c r="X54" s="37" t="e">
        <f>IF(AND('Mapa final'!#REF!="Muy Baja",'Mapa final'!#REF!="Moderado"),CONCATENATE("R9C",'Mapa final'!#REF!),"")</f>
        <v>#REF!</v>
      </c>
      <c r="Y54" s="37" t="e">
        <f>IF(AND('Mapa final'!#REF!="Muy Baja",'Mapa final'!#REF!="Moderado"),CONCATENATE("R9C",'Mapa final'!#REF!),"")</f>
        <v>#REF!</v>
      </c>
      <c r="Z54" s="37" t="e">
        <f>IF(AND('Mapa final'!#REF!="Muy Baja",'Mapa final'!#REF!="Moderado"),CONCATENATE("R9C",'Mapa final'!#REF!),"")</f>
        <v>#REF!</v>
      </c>
      <c r="AA54" s="38" t="e">
        <f>IF(AND('Mapa final'!#REF!="Muy Baja",'Mapa final'!#REF!="Moderado"),CONCATENATE("R9C",'Mapa final'!#REF!),"")</f>
        <v>#REF!</v>
      </c>
      <c r="AB54" s="21" t="e">
        <f>IF(AND('Mapa final'!#REF!="Muy Baja",'Mapa final'!#REF!="Mayor"),CONCATENATE("R9C",'Mapa final'!#REF!),"")</f>
        <v>#REF!</v>
      </c>
      <c r="AC54" s="22" t="e">
        <f>IF(AND('Mapa final'!#REF!="Muy Baja",'Mapa final'!#REF!="Mayor"),CONCATENATE("R9C",'Mapa final'!#REF!),"")</f>
        <v>#REF!</v>
      </c>
      <c r="AD54" s="22" t="e">
        <f>IF(AND('Mapa final'!#REF!="Muy Baja",'Mapa final'!#REF!="Mayor"),CONCATENATE("R9C",'Mapa final'!#REF!),"")</f>
        <v>#REF!</v>
      </c>
      <c r="AE54" s="22" t="e">
        <f>IF(AND('Mapa final'!#REF!="Muy Baja",'Mapa final'!#REF!="Mayor"),CONCATENATE("R9C",'Mapa final'!#REF!),"")</f>
        <v>#REF!</v>
      </c>
      <c r="AF54" s="22" t="e">
        <f>IF(AND('Mapa final'!#REF!="Muy Baja",'Mapa final'!#REF!="Mayor"),CONCATENATE("R9C",'Mapa final'!#REF!),"")</f>
        <v>#REF!</v>
      </c>
      <c r="AG54" s="23" t="e">
        <f>IF(AND('Mapa final'!#REF!="Muy Baja",'Mapa final'!#REF!="Mayor"),CONCATENATE("R9C",'Mapa final'!#REF!),"")</f>
        <v>#REF!</v>
      </c>
      <c r="AH54" s="24" t="e">
        <f>IF(AND('Mapa final'!#REF!="Muy Baja",'Mapa final'!#REF!="Catastrófico"),CONCATENATE("R9C",'Mapa final'!#REF!),"")</f>
        <v>#REF!</v>
      </c>
      <c r="AI54" s="25" t="e">
        <f>IF(AND('Mapa final'!#REF!="Muy Baja",'Mapa final'!#REF!="Catastrófico"),CONCATENATE("R9C",'Mapa final'!#REF!),"")</f>
        <v>#REF!</v>
      </c>
      <c r="AJ54" s="25" t="e">
        <f>IF(AND('Mapa final'!#REF!="Muy Baja",'Mapa final'!#REF!="Catastrófico"),CONCATENATE("R9C",'Mapa final'!#REF!),"")</f>
        <v>#REF!</v>
      </c>
      <c r="AK54" s="25" t="e">
        <f>IF(AND('Mapa final'!#REF!="Muy Baja",'Mapa final'!#REF!="Catastrófico"),CONCATENATE("R9C",'Mapa final'!#REF!),"")</f>
        <v>#REF!</v>
      </c>
      <c r="AL54" s="25" t="e">
        <f>IF(AND('Mapa final'!#REF!="Muy Baja",'Mapa final'!#REF!="Catastrófico"),CONCATENATE("R9C",'Mapa final'!#REF!),"")</f>
        <v>#REF!</v>
      </c>
      <c r="AM54" s="26" t="e">
        <f>IF(AND('Mapa final'!#REF!="Muy Baja",'Mapa final'!#REF!="Catastrófico"),CONCATENATE("R9C",'Mapa final'!#REF!),"")</f>
        <v>#REF!</v>
      </c>
    </row>
    <row r="55" spans="2:39" ht="15.75" customHeight="1" x14ac:dyDescent="0.35">
      <c r="B55" s="233"/>
      <c r="C55" s="265"/>
      <c r="D55" s="234"/>
      <c r="E55" s="253"/>
      <c r="F55" s="254"/>
      <c r="G55" s="254"/>
      <c r="H55" s="254"/>
      <c r="I55" s="257"/>
      <c r="J55" s="48" t="e">
        <f>IF(AND('Mapa final'!#REF!="Muy Baja",'Mapa final'!#REF!="Leve"),CONCATENATE("R10C",'Mapa final'!#REF!),"")</f>
        <v>#REF!</v>
      </c>
      <c r="K55" s="49" t="e">
        <f>IF(AND('Mapa final'!#REF!="Muy Baja",'Mapa final'!#REF!="Leve"),CONCATENATE("R10C",'Mapa final'!#REF!),"")</f>
        <v>#REF!</v>
      </c>
      <c r="L55" s="49" t="e">
        <f>IF(AND('Mapa final'!#REF!="Muy Baja",'Mapa final'!#REF!="Leve"),CONCATENATE("R10C",'Mapa final'!#REF!),"")</f>
        <v>#REF!</v>
      </c>
      <c r="M55" s="49" t="e">
        <f>IF(AND('Mapa final'!#REF!="Muy Baja",'Mapa final'!#REF!="Leve"),CONCATENATE("R10C",'Mapa final'!#REF!),"")</f>
        <v>#REF!</v>
      </c>
      <c r="N55" s="49" t="e">
        <f>IF(AND('Mapa final'!#REF!="Muy Baja",'Mapa final'!#REF!="Leve"),CONCATENATE("R10C",'Mapa final'!#REF!),"")</f>
        <v>#REF!</v>
      </c>
      <c r="O55" s="50" t="e">
        <f>IF(AND('Mapa final'!#REF!="Muy Baja",'Mapa final'!#REF!="Leve"),CONCATENATE("R10C",'Mapa final'!#REF!),"")</f>
        <v>#REF!</v>
      </c>
      <c r="P55" s="48" t="e">
        <f>IF(AND('Mapa final'!#REF!="Muy Baja",'Mapa final'!#REF!="Menor"),CONCATENATE("R10C",'Mapa final'!#REF!),"")</f>
        <v>#REF!</v>
      </c>
      <c r="Q55" s="49" t="e">
        <f>IF(AND('Mapa final'!#REF!="Muy Baja",'Mapa final'!#REF!="Menor"),CONCATENATE("R10C",'Mapa final'!#REF!),"")</f>
        <v>#REF!</v>
      </c>
      <c r="R55" s="49" t="e">
        <f>IF(AND('Mapa final'!#REF!="Muy Baja",'Mapa final'!#REF!="Menor"),CONCATENATE("R10C",'Mapa final'!#REF!),"")</f>
        <v>#REF!</v>
      </c>
      <c r="S55" s="49" t="e">
        <f>IF(AND('Mapa final'!#REF!="Muy Baja",'Mapa final'!#REF!="Menor"),CONCATENATE("R10C",'Mapa final'!#REF!),"")</f>
        <v>#REF!</v>
      </c>
      <c r="T55" s="49" t="e">
        <f>IF(AND('Mapa final'!#REF!="Muy Baja",'Mapa final'!#REF!="Menor"),CONCATENATE("R10C",'Mapa final'!#REF!),"")</f>
        <v>#REF!</v>
      </c>
      <c r="U55" s="50" t="e">
        <f>IF(AND('Mapa final'!#REF!="Muy Baja",'Mapa final'!#REF!="Menor"),CONCATENATE("R10C",'Mapa final'!#REF!),"")</f>
        <v>#REF!</v>
      </c>
      <c r="V55" s="39" t="e">
        <f>IF(AND('Mapa final'!#REF!="Muy Baja",'Mapa final'!#REF!="Moderado"),CONCATENATE("R10C",'Mapa final'!#REF!),"")</f>
        <v>#REF!</v>
      </c>
      <c r="W55" s="40" t="e">
        <f>IF(AND('Mapa final'!#REF!="Muy Baja",'Mapa final'!#REF!="Moderado"),CONCATENATE("R10C",'Mapa final'!#REF!),"")</f>
        <v>#REF!</v>
      </c>
      <c r="X55" s="40" t="e">
        <f>IF(AND('Mapa final'!#REF!="Muy Baja",'Mapa final'!#REF!="Moderado"),CONCATENATE("R10C",'Mapa final'!#REF!),"")</f>
        <v>#REF!</v>
      </c>
      <c r="Y55" s="40" t="e">
        <f>IF(AND('Mapa final'!#REF!="Muy Baja",'Mapa final'!#REF!="Moderado"),CONCATENATE("R10C",'Mapa final'!#REF!),"")</f>
        <v>#REF!</v>
      </c>
      <c r="Z55" s="40" t="e">
        <f>IF(AND('Mapa final'!#REF!="Muy Baja",'Mapa final'!#REF!="Moderado"),CONCATENATE("R10C",'Mapa final'!#REF!),"")</f>
        <v>#REF!</v>
      </c>
      <c r="AA55" s="41" t="e">
        <f>IF(AND('Mapa final'!#REF!="Muy Baja",'Mapa final'!#REF!="Moderado"),CONCATENATE("R10C",'Mapa final'!#REF!),"")</f>
        <v>#REF!</v>
      </c>
      <c r="AB55" s="27" t="e">
        <f>IF(AND('Mapa final'!#REF!="Muy Baja",'Mapa final'!#REF!="Mayor"),CONCATENATE("R10C",'Mapa final'!#REF!),"")</f>
        <v>#REF!</v>
      </c>
      <c r="AC55" s="28" t="e">
        <f>IF(AND('Mapa final'!#REF!="Muy Baja",'Mapa final'!#REF!="Mayor"),CONCATENATE("R10C",'Mapa final'!#REF!),"")</f>
        <v>#REF!</v>
      </c>
      <c r="AD55" s="28" t="e">
        <f>IF(AND('Mapa final'!#REF!="Muy Baja",'Mapa final'!#REF!="Mayor"),CONCATENATE("R10C",'Mapa final'!#REF!),"")</f>
        <v>#REF!</v>
      </c>
      <c r="AE55" s="28" t="e">
        <f>IF(AND('Mapa final'!#REF!="Muy Baja",'Mapa final'!#REF!="Mayor"),CONCATENATE("R10C",'Mapa final'!#REF!),"")</f>
        <v>#REF!</v>
      </c>
      <c r="AF55" s="28" t="e">
        <f>IF(AND('Mapa final'!#REF!="Muy Baja",'Mapa final'!#REF!="Mayor"),CONCATENATE("R10C",'Mapa final'!#REF!),"")</f>
        <v>#REF!</v>
      </c>
      <c r="AG55" s="29" t="e">
        <f>IF(AND('Mapa final'!#REF!="Muy Baja",'Mapa final'!#REF!="Mayor"),CONCATENATE("R10C",'Mapa final'!#REF!),"")</f>
        <v>#REF!</v>
      </c>
      <c r="AH55" s="30" t="e">
        <f>IF(AND('Mapa final'!#REF!="Muy Baja",'Mapa final'!#REF!="Catastrófico"),CONCATENATE("R10C",'Mapa final'!#REF!),"")</f>
        <v>#REF!</v>
      </c>
      <c r="AI55" s="31" t="e">
        <f>IF(AND('Mapa final'!#REF!="Muy Baja",'Mapa final'!#REF!="Catastrófico"),CONCATENATE("R10C",'Mapa final'!#REF!),"")</f>
        <v>#REF!</v>
      </c>
      <c r="AJ55" s="31" t="e">
        <f>IF(AND('Mapa final'!#REF!="Muy Baja",'Mapa final'!#REF!="Catastrófico"),CONCATENATE("R10C",'Mapa final'!#REF!),"")</f>
        <v>#REF!</v>
      </c>
      <c r="AK55" s="31" t="e">
        <f>IF(AND('Mapa final'!#REF!="Muy Baja",'Mapa final'!#REF!="Catastrófico"),CONCATENATE("R10C",'Mapa final'!#REF!),"")</f>
        <v>#REF!</v>
      </c>
      <c r="AL55" s="31" t="e">
        <f>IF(AND('Mapa final'!#REF!="Muy Baja",'Mapa final'!#REF!="Catastrófico"),CONCATENATE("R10C",'Mapa final'!#REF!),"")</f>
        <v>#REF!</v>
      </c>
      <c r="AM55" s="32" t="e">
        <f>IF(AND('Mapa final'!#REF!="Muy Baja",'Mapa final'!#REF!="Catastrófico"),CONCATENATE("R10C",'Mapa final'!#REF!),"")</f>
        <v>#REF!</v>
      </c>
    </row>
    <row r="56" spans="2:39" ht="15.75" customHeight="1" x14ac:dyDescent="0.35">
      <c r="B56" s="1"/>
      <c r="C56" s="1"/>
      <c r="D56" s="1"/>
      <c r="E56" s="1"/>
      <c r="F56" s="1"/>
      <c r="G56" s="1"/>
      <c r="H56" s="1"/>
      <c r="I56" s="1"/>
      <c r="J56" s="281" t="s">
        <v>104</v>
      </c>
      <c r="K56" s="252"/>
      <c r="L56" s="252"/>
      <c r="M56" s="252"/>
      <c r="N56" s="252"/>
      <c r="O56" s="238"/>
      <c r="P56" s="281" t="s">
        <v>105</v>
      </c>
      <c r="Q56" s="252"/>
      <c r="R56" s="252"/>
      <c r="S56" s="252"/>
      <c r="T56" s="252"/>
      <c r="U56" s="238"/>
      <c r="V56" s="281" t="s">
        <v>106</v>
      </c>
      <c r="W56" s="252"/>
      <c r="X56" s="252"/>
      <c r="Y56" s="252"/>
      <c r="Z56" s="252"/>
      <c r="AA56" s="238"/>
      <c r="AB56" s="281" t="s">
        <v>107</v>
      </c>
      <c r="AC56" s="252"/>
      <c r="AD56" s="252"/>
      <c r="AE56" s="252"/>
      <c r="AF56" s="252"/>
      <c r="AG56" s="238"/>
      <c r="AH56" s="281" t="s">
        <v>108</v>
      </c>
      <c r="AI56" s="252"/>
      <c r="AJ56" s="252"/>
      <c r="AK56" s="252"/>
      <c r="AL56" s="252"/>
      <c r="AM56" s="238"/>
    </row>
    <row r="57" spans="2:39" ht="15.75" customHeight="1" x14ac:dyDescent="0.35">
      <c r="B57" s="1"/>
      <c r="C57" s="1"/>
      <c r="D57" s="1"/>
      <c r="E57" s="1"/>
      <c r="F57" s="1"/>
      <c r="G57" s="1"/>
      <c r="H57" s="1"/>
      <c r="I57" s="1"/>
      <c r="J57" s="230"/>
      <c r="K57" s="218"/>
      <c r="L57" s="218"/>
      <c r="M57" s="218"/>
      <c r="N57" s="218"/>
      <c r="O57" s="219"/>
      <c r="P57" s="230"/>
      <c r="Q57" s="218"/>
      <c r="R57" s="218"/>
      <c r="S57" s="218"/>
      <c r="T57" s="218"/>
      <c r="U57" s="219"/>
      <c r="V57" s="230"/>
      <c r="W57" s="218"/>
      <c r="X57" s="218"/>
      <c r="Y57" s="218"/>
      <c r="Z57" s="218"/>
      <c r="AA57" s="219"/>
      <c r="AB57" s="230"/>
      <c r="AC57" s="218"/>
      <c r="AD57" s="218"/>
      <c r="AE57" s="218"/>
      <c r="AF57" s="218"/>
      <c r="AG57" s="219"/>
      <c r="AH57" s="230"/>
      <c r="AI57" s="218"/>
      <c r="AJ57" s="218"/>
      <c r="AK57" s="218"/>
      <c r="AL57" s="218"/>
      <c r="AM57" s="219"/>
    </row>
    <row r="58" spans="2:39" ht="15.75" customHeight="1" x14ac:dyDescent="0.35">
      <c r="B58" s="1"/>
      <c r="C58" s="1"/>
      <c r="D58" s="1"/>
      <c r="E58" s="1"/>
      <c r="F58" s="1"/>
      <c r="G58" s="1"/>
      <c r="H58" s="1"/>
      <c r="I58" s="1"/>
      <c r="J58" s="230"/>
      <c r="K58" s="218"/>
      <c r="L58" s="218"/>
      <c r="M58" s="218"/>
      <c r="N58" s="218"/>
      <c r="O58" s="219"/>
      <c r="P58" s="230"/>
      <c r="Q58" s="218"/>
      <c r="R58" s="218"/>
      <c r="S58" s="218"/>
      <c r="T58" s="218"/>
      <c r="U58" s="219"/>
      <c r="V58" s="230"/>
      <c r="W58" s="218"/>
      <c r="X58" s="218"/>
      <c r="Y58" s="218"/>
      <c r="Z58" s="218"/>
      <c r="AA58" s="219"/>
      <c r="AB58" s="230"/>
      <c r="AC58" s="218"/>
      <c r="AD58" s="218"/>
      <c r="AE58" s="218"/>
      <c r="AF58" s="218"/>
      <c r="AG58" s="219"/>
      <c r="AH58" s="230"/>
      <c r="AI58" s="218"/>
      <c r="AJ58" s="218"/>
      <c r="AK58" s="218"/>
      <c r="AL58" s="218"/>
      <c r="AM58" s="219"/>
    </row>
    <row r="59" spans="2:39" ht="15.75" customHeight="1" x14ac:dyDescent="0.35">
      <c r="B59" s="1"/>
      <c r="C59" s="1"/>
      <c r="D59" s="1"/>
      <c r="E59" s="1"/>
      <c r="F59" s="1"/>
      <c r="G59" s="1"/>
      <c r="H59" s="1"/>
      <c r="I59" s="1"/>
      <c r="J59" s="230"/>
      <c r="K59" s="218"/>
      <c r="L59" s="218"/>
      <c r="M59" s="218"/>
      <c r="N59" s="218"/>
      <c r="O59" s="219"/>
      <c r="P59" s="230"/>
      <c r="Q59" s="218"/>
      <c r="R59" s="218"/>
      <c r="S59" s="218"/>
      <c r="T59" s="218"/>
      <c r="U59" s="219"/>
      <c r="V59" s="230"/>
      <c r="W59" s="218"/>
      <c r="X59" s="218"/>
      <c r="Y59" s="218"/>
      <c r="Z59" s="218"/>
      <c r="AA59" s="219"/>
      <c r="AB59" s="230"/>
      <c r="AC59" s="218"/>
      <c r="AD59" s="218"/>
      <c r="AE59" s="218"/>
      <c r="AF59" s="218"/>
      <c r="AG59" s="219"/>
      <c r="AH59" s="230"/>
      <c r="AI59" s="218"/>
      <c r="AJ59" s="218"/>
      <c r="AK59" s="218"/>
      <c r="AL59" s="218"/>
      <c r="AM59" s="219"/>
    </row>
    <row r="60" spans="2:39" ht="15.75" customHeight="1" x14ac:dyDescent="0.35">
      <c r="B60" s="1"/>
      <c r="C60" s="1"/>
      <c r="D60" s="1"/>
      <c r="E60" s="1"/>
      <c r="F60" s="1"/>
      <c r="G60" s="1"/>
      <c r="H60" s="1"/>
      <c r="I60" s="1"/>
      <c r="J60" s="230"/>
      <c r="K60" s="218"/>
      <c r="L60" s="218"/>
      <c r="M60" s="218"/>
      <c r="N60" s="218"/>
      <c r="O60" s="219"/>
      <c r="P60" s="230"/>
      <c r="Q60" s="218"/>
      <c r="R60" s="218"/>
      <c r="S60" s="218"/>
      <c r="T60" s="218"/>
      <c r="U60" s="219"/>
      <c r="V60" s="230"/>
      <c r="W60" s="218"/>
      <c r="X60" s="218"/>
      <c r="Y60" s="218"/>
      <c r="Z60" s="218"/>
      <c r="AA60" s="219"/>
      <c r="AB60" s="230"/>
      <c r="AC60" s="218"/>
      <c r="AD60" s="218"/>
      <c r="AE60" s="218"/>
      <c r="AF60" s="218"/>
      <c r="AG60" s="219"/>
      <c r="AH60" s="230"/>
      <c r="AI60" s="218"/>
      <c r="AJ60" s="218"/>
      <c r="AK60" s="218"/>
      <c r="AL60" s="218"/>
      <c r="AM60" s="219"/>
    </row>
    <row r="61" spans="2:39" ht="15.75" customHeight="1" x14ac:dyDescent="0.35">
      <c r="B61" s="1"/>
      <c r="C61" s="1"/>
      <c r="D61" s="1"/>
      <c r="E61" s="1"/>
      <c r="F61" s="1"/>
      <c r="G61" s="1"/>
      <c r="H61" s="1"/>
      <c r="I61" s="1"/>
      <c r="J61" s="253"/>
      <c r="K61" s="254"/>
      <c r="L61" s="254"/>
      <c r="M61" s="254"/>
      <c r="N61" s="254"/>
      <c r="O61" s="257"/>
      <c r="P61" s="253"/>
      <c r="Q61" s="254"/>
      <c r="R61" s="254"/>
      <c r="S61" s="254"/>
      <c r="T61" s="254"/>
      <c r="U61" s="257"/>
      <c r="V61" s="253"/>
      <c r="W61" s="254"/>
      <c r="X61" s="254"/>
      <c r="Y61" s="254"/>
      <c r="Z61" s="254"/>
      <c r="AA61" s="257"/>
      <c r="AB61" s="253"/>
      <c r="AC61" s="254"/>
      <c r="AD61" s="254"/>
      <c r="AE61" s="254"/>
      <c r="AF61" s="254"/>
      <c r="AG61" s="257"/>
      <c r="AH61" s="253"/>
      <c r="AI61" s="254"/>
      <c r="AJ61" s="254"/>
      <c r="AK61" s="254"/>
      <c r="AL61" s="254"/>
      <c r="AM61" s="257"/>
    </row>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D8"/>
  <sheetViews>
    <sheetView topLeftCell="A3" workbookViewId="0">
      <selection activeCell="C7" sqref="C7"/>
    </sheetView>
  </sheetViews>
  <sheetFormatPr baseColWidth="10" defaultColWidth="12.58203125" defaultRowHeight="15" customHeight="1" x14ac:dyDescent="0.3"/>
  <cols>
    <col min="1" max="1" width="9.33203125" customWidth="1"/>
    <col min="2" max="2" width="21.08203125" customWidth="1"/>
    <col min="3" max="3" width="61.33203125" customWidth="1"/>
    <col min="4" max="4" width="26.08203125" customWidth="1"/>
    <col min="5" max="26" width="9.33203125" customWidth="1"/>
  </cols>
  <sheetData>
    <row r="1" spans="2:4" ht="22.5" x14ac:dyDescent="0.3">
      <c r="B1" s="286" t="s">
        <v>110</v>
      </c>
      <c r="C1" s="218"/>
      <c r="D1" s="218"/>
    </row>
    <row r="2" spans="2:4" ht="14.5" x14ac:dyDescent="0.35">
      <c r="B2" s="1"/>
      <c r="C2" s="1"/>
      <c r="D2" s="1"/>
    </row>
    <row r="3" spans="2:4" ht="25" x14ac:dyDescent="0.3">
      <c r="B3" s="52"/>
      <c r="C3" s="53" t="s">
        <v>111</v>
      </c>
      <c r="D3" s="53" t="s">
        <v>94</v>
      </c>
    </row>
    <row r="4" spans="2:4" ht="50" x14ac:dyDescent="0.3">
      <c r="B4" s="54" t="s">
        <v>112</v>
      </c>
      <c r="C4" s="55" t="s">
        <v>113</v>
      </c>
      <c r="D4" s="56">
        <v>0.2</v>
      </c>
    </row>
    <row r="5" spans="2:4" ht="50" x14ac:dyDescent="0.3">
      <c r="B5" s="57" t="s">
        <v>114</v>
      </c>
      <c r="C5" s="58" t="s">
        <v>115</v>
      </c>
      <c r="D5" s="59">
        <v>0.4</v>
      </c>
    </row>
    <row r="6" spans="2:4" ht="50" x14ac:dyDescent="0.3">
      <c r="B6" s="60" t="s">
        <v>116</v>
      </c>
      <c r="C6" s="58" t="s">
        <v>117</v>
      </c>
      <c r="D6" s="59">
        <v>0.6</v>
      </c>
    </row>
    <row r="7" spans="2:4" ht="75" x14ac:dyDescent="0.3">
      <c r="B7" s="61" t="s">
        <v>118</v>
      </c>
      <c r="C7" s="58" t="s">
        <v>119</v>
      </c>
      <c r="D7" s="59">
        <v>0.8</v>
      </c>
    </row>
    <row r="8" spans="2:4" ht="50" x14ac:dyDescent="0.3">
      <c r="B8" s="62" t="s">
        <v>120</v>
      </c>
      <c r="C8" s="58" t="s">
        <v>121</v>
      </c>
      <c r="D8" s="59">
        <v>1</v>
      </c>
    </row>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H224"/>
  <sheetViews>
    <sheetView topLeftCell="B2" zoomScale="70" zoomScaleNormal="70" workbookViewId="0">
      <selection activeCell="C7" sqref="C7"/>
    </sheetView>
  </sheetViews>
  <sheetFormatPr baseColWidth="10" defaultColWidth="12.58203125" defaultRowHeight="15" customHeight="1" x14ac:dyDescent="0.3"/>
  <cols>
    <col min="1" max="1" width="9.33203125" customWidth="1"/>
    <col min="2" max="2" width="35.33203125" customWidth="1"/>
    <col min="3" max="3" width="65.5" customWidth="1"/>
    <col min="4" max="4" width="118.08203125" customWidth="1"/>
    <col min="5" max="5" width="126.58203125" customWidth="1"/>
    <col min="6" max="26" width="9.33203125" customWidth="1"/>
  </cols>
  <sheetData>
    <row r="1" spans="1:4" ht="32.5" x14ac:dyDescent="0.35">
      <c r="A1" s="1"/>
      <c r="B1" s="287" t="s">
        <v>122</v>
      </c>
      <c r="C1" s="218"/>
      <c r="D1" s="218"/>
    </row>
    <row r="2" spans="1:4" ht="14.5" x14ac:dyDescent="0.35">
      <c r="A2" s="1"/>
      <c r="B2" s="1"/>
      <c r="C2" s="1"/>
      <c r="D2" s="1"/>
    </row>
    <row r="3" spans="1:4" ht="30.5" x14ac:dyDescent="0.35">
      <c r="A3" s="1"/>
      <c r="B3" s="63"/>
      <c r="C3" s="64" t="s">
        <v>123</v>
      </c>
      <c r="D3" s="64" t="s">
        <v>124</v>
      </c>
    </row>
    <row r="4" spans="1:4" ht="32.5" x14ac:dyDescent="0.35">
      <c r="A4" s="65" t="s">
        <v>125</v>
      </c>
      <c r="B4" s="66" t="s">
        <v>126</v>
      </c>
      <c r="C4" s="67" t="s">
        <v>127</v>
      </c>
      <c r="D4" s="68" t="s">
        <v>128</v>
      </c>
    </row>
    <row r="5" spans="1:4" ht="65" x14ac:dyDescent="0.35">
      <c r="A5" s="65" t="s">
        <v>129</v>
      </c>
      <c r="B5" s="69" t="s">
        <v>130</v>
      </c>
      <c r="C5" s="70" t="s">
        <v>131</v>
      </c>
      <c r="D5" s="71" t="s">
        <v>132</v>
      </c>
    </row>
    <row r="6" spans="1:4" ht="65" x14ac:dyDescent="0.35">
      <c r="A6" s="65" t="s">
        <v>100</v>
      </c>
      <c r="B6" s="72" t="s">
        <v>133</v>
      </c>
      <c r="C6" s="98" t="s">
        <v>134</v>
      </c>
      <c r="D6" s="99" t="s">
        <v>215</v>
      </c>
    </row>
    <row r="7" spans="1:4" ht="97.5" x14ac:dyDescent="0.35">
      <c r="A7" s="65" t="s">
        <v>136</v>
      </c>
      <c r="B7" s="73" t="s">
        <v>137</v>
      </c>
      <c r="C7" s="70" t="s">
        <v>138</v>
      </c>
      <c r="D7" s="71" t="s">
        <v>214</v>
      </c>
    </row>
    <row r="8" spans="1:4" ht="65" x14ac:dyDescent="0.35">
      <c r="A8" s="65" t="s">
        <v>140</v>
      </c>
      <c r="B8" s="74" t="s">
        <v>141</v>
      </c>
      <c r="C8" s="70" t="s">
        <v>142</v>
      </c>
      <c r="D8" s="71" t="s">
        <v>143</v>
      </c>
    </row>
    <row r="9" spans="1:4" ht="20" x14ac:dyDescent="0.35">
      <c r="A9" s="65"/>
      <c r="B9" s="65"/>
      <c r="C9" s="75"/>
      <c r="D9" s="75"/>
    </row>
    <row r="10" spans="1:4" ht="14.5" x14ac:dyDescent="0.35">
      <c r="A10" s="65"/>
      <c r="B10" s="76"/>
      <c r="C10" s="76"/>
      <c r="D10" s="76"/>
    </row>
    <row r="11" spans="1:4" ht="14.5" x14ac:dyDescent="0.35">
      <c r="A11" s="65"/>
      <c r="B11" s="65" t="s">
        <v>144</v>
      </c>
      <c r="C11" s="65" t="s">
        <v>145</v>
      </c>
      <c r="D11" s="65" t="s">
        <v>146</v>
      </c>
    </row>
    <row r="12" spans="1:4" ht="14.5" x14ac:dyDescent="0.35">
      <c r="A12" s="65"/>
      <c r="B12" s="65" t="s">
        <v>147</v>
      </c>
      <c r="C12" s="65" t="s">
        <v>148</v>
      </c>
      <c r="D12" s="65" t="s">
        <v>149</v>
      </c>
    </row>
    <row r="13" spans="1:4" ht="14.5" x14ac:dyDescent="0.35">
      <c r="A13" s="65"/>
      <c r="B13" s="65"/>
      <c r="C13" s="65" t="s">
        <v>150</v>
      </c>
      <c r="D13" s="65" t="s">
        <v>151</v>
      </c>
    </row>
    <row r="14" spans="1:4" ht="14.5" x14ac:dyDescent="0.35">
      <c r="A14" s="65"/>
      <c r="B14" s="65"/>
      <c r="C14" s="65" t="s">
        <v>152</v>
      </c>
      <c r="D14" s="65" t="s">
        <v>153</v>
      </c>
    </row>
    <row r="15" spans="1:4" ht="14.5" x14ac:dyDescent="0.35">
      <c r="A15" s="65"/>
      <c r="B15" s="65"/>
      <c r="C15" s="65" t="s">
        <v>154</v>
      </c>
      <c r="D15" s="65" t="s">
        <v>155</v>
      </c>
    </row>
    <row r="209" spans="2:8" ht="15.75" customHeight="1" x14ac:dyDescent="0.35">
      <c r="B209" s="77" t="s">
        <v>156</v>
      </c>
      <c r="C209" s="77" t="s">
        <v>157</v>
      </c>
      <c r="D209" s="78" t="s">
        <v>156</v>
      </c>
      <c r="E209" s="78" t="s">
        <v>157</v>
      </c>
    </row>
    <row r="210" spans="2:8" ht="15.75" customHeight="1" x14ac:dyDescent="0.5">
      <c r="B210" s="79" t="s">
        <v>158</v>
      </c>
      <c r="C210" s="79" t="s">
        <v>159</v>
      </c>
      <c r="D210" s="80" t="s">
        <v>158</v>
      </c>
      <c r="F210" s="80" t="str">
        <f t="shared" ref="F210:F221" si="0">IF(NOT(ISBLANK(D210)),D210,IF(NOT(ISBLANK(E210)),"     "&amp;E210,FALSE))</f>
        <v>Afectación Económica o presupuestal</v>
      </c>
      <c r="G210" s="80" t="s">
        <v>158</v>
      </c>
      <c r="H210" s="80" t="str">
        <f ca="1">IF(NOT(ISERROR(MATCH(G210,ANCHORARRAY(B221),0))),F223&amp;"Por favor no seleccionar los criterios de impacto",G210)</f>
        <v>Afectación Económica o presupuestal</v>
      </c>
    </row>
    <row r="211" spans="2:8" ht="15.75" customHeight="1" x14ac:dyDescent="0.5">
      <c r="B211" s="79" t="s">
        <v>158</v>
      </c>
      <c r="C211" s="79" t="s">
        <v>131</v>
      </c>
      <c r="E211" s="80" t="s">
        <v>159</v>
      </c>
      <c r="F211" s="80" t="str">
        <f t="shared" si="0"/>
        <v xml:space="preserve">     Afectación menor a 10 SMLMV .</v>
      </c>
    </row>
    <row r="212" spans="2:8" ht="15.75" customHeight="1" x14ac:dyDescent="0.5">
      <c r="B212" s="79" t="s">
        <v>158</v>
      </c>
      <c r="C212" s="79" t="s">
        <v>134</v>
      </c>
      <c r="E212" s="80" t="s">
        <v>131</v>
      </c>
      <c r="F212" s="80" t="str">
        <f t="shared" si="0"/>
        <v xml:space="preserve">     Entre 10 y 50 SMLMV </v>
      </c>
    </row>
    <row r="213" spans="2:8" ht="15.75" customHeight="1" x14ac:dyDescent="0.5">
      <c r="B213" s="79" t="s">
        <v>158</v>
      </c>
      <c r="C213" s="79" t="s">
        <v>138</v>
      </c>
      <c r="E213" s="80" t="s">
        <v>134</v>
      </c>
      <c r="F213" s="80" t="str">
        <f t="shared" si="0"/>
        <v xml:space="preserve">     Entre 50 y 100 SMLMV </v>
      </c>
    </row>
    <row r="214" spans="2:8" ht="15.75" customHeight="1" x14ac:dyDescent="0.5">
      <c r="B214" s="79" t="s">
        <v>158</v>
      </c>
      <c r="C214" s="79" t="s">
        <v>142</v>
      </c>
      <c r="E214" s="80" t="s">
        <v>138</v>
      </c>
      <c r="F214" s="80" t="str">
        <f t="shared" si="0"/>
        <v xml:space="preserve">     Entre 100 y 500 SMLMV </v>
      </c>
    </row>
    <row r="215" spans="2:8" ht="15.75" customHeight="1" x14ac:dyDescent="0.5">
      <c r="B215" s="79" t="s">
        <v>124</v>
      </c>
      <c r="C215" s="79" t="s">
        <v>128</v>
      </c>
      <c r="E215" s="80" t="s">
        <v>142</v>
      </c>
      <c r="F215" s="80" t="str">
        <f t="shared" si="0"/>
        <v xml:space="preserve">     Mayor a 500 SMLMV </v>
      </c>
    </row>
    <row r="216" spans="2:8" ht="15.75" customHeight="1" x14ac:dyDescent="0.5">
      <c r="B216" s="79" t="s">
        <v>124</v>
      </c>
      <c r="C216" s="79" t="s">
        <v>132</v>
      </c>
      <c r="D216" s="80" t="s">
        <v>124</v>
      </c>
      <c r="F216" s="80" t="str">
        <f t="shared" si="0"/>
        <v>Pérdida Reputacional</v>
      </c>
    </row>
    <row r="217" spans="2:8" ht="15.75" customHeight="1" x14ac:dyDescent="0.5">
      <c r="B217" s="79" t="s">
        <v>124</v>
      </c>
      <c r="C217" s="79" t="s">
        <v>135</v>
      </c>
      <c r="E217" s="80" t="s">
        <v>128</v>
      </c>
      <c r="F217" s="80" t="str">
        <f t="shared" si="0"/>
        <v xml:space="preserve">     El riesgo afecta la imagen de alguna área de la organización</v>
      </c>
    </row>
    <row r="218" spans="2:8" ht="15.75" customHeight="1" x14ac:dyDescent="0.5">
      <c r="B218" s="79" t="s">
        <v>124</v>
      </c>
      <c r="C218" s="79" t="s">
        <v>139</v>
      </c>
      <c r="E218" s="80" t="s">
        <v>132</v>
      </c>
      <c r="F218" s="80" t="str">
        <f t="shared" si="0"/>
        <v xml:space="preserve">     El riesgo afecta la imagen de la entidad internamente, de conocimiento general, nivel interno, de junta dircetiva y accionistas y/o de provedores</v>
      </c>
    </row>
    <row r="219" spans="2:8" ht="15.75" customHeight="1" x14ac:dyDescent="0.5">
      <c r="B219" s="79" t="s">
        <v>124</v>
      </c>
      <c r="C219" s="79" t="s">
        <v>143</v>
      </c>
      <c r="E219" s="80" t="s">
        <v>135</v>
      </c>
      <c r="F219" s="80" t="str">
        <f t="shared" si="0"/>
        <v xml:space="preserve">     El riesgo afecta la imagen de la entidad con algunos usuarios de relevancia frente al logro de los objetivos</v>
      </c>
    </row>
    <row r="220" spans="2:8" ht="15.75" customHeight="1" x14ac:dyDescent="0.35">
      <c r="B220" s="81"/>
      <c r="C220" s="81"/>
      <c r="E220" s="80" t="s">
        <v>139</v>
      </c>
      <c r="F220" s="80" t="str">
        <f t="shared" si="0"/>
        <v xml:space="preserve">     El riesgo afecta la imagen de de la entidad con efecto publicitario sostenido a nivel de sector administrativo, nivel departamental o municipal</v>
      </c>
    </row>
    <row r="221" spans="2:8" ht="15.75" customHeight="1" x14ac:dyDescent="0.35">
      <c r="B221" s="81" t="str">
        <f ca="1">IFERROR(__xludf.DUMMYFUNCTION("ARRAY_CONSTRAIN(ARRAYFORMULA(UNIQUE('Tabla Impacto'!$B$209:$B$219)), 3, 1)"),"Criterios")</f>
        <v>Criterios</v>
      </c>
      <c r="C221" s="81"/>
      <c r="E221" s="80" t="s">
        <v>143</v>
      </c>
      <c r="F221" s="80" t="str">
        <f t="shared" si="0"/>
        <v xml:space="preserve">     El riesgo afecta la imagen de la entidad a nivel nacional, con efecto publicitarios sostenible a nivel país</v>
      </c>
    </row>
    <row r="222" spans="2:8" ht="15.75" customHeight="1" x14ac:dyDescent="0.35">
      <c r="B222" s="81" t="str">
        <f ca="1">IFERROR(__xludf.DUMMYFUNCTION("""COMPUTED_VALUE"""),"Afectación Económica o presupuestal")</f>
        <v>Afectación Económica o presupuestal</v>
      </c>
      <c r="C222" s="81"/>
    </row>
    <row r="223" spans="2:8" ht="15.75" customHeight="1" x14ac:dyDescent="0.35">
      <c r="B223" s="81" t="str">
        <f ca="1">IFERROR(__xludf.DUMMYFUNCTION("""COMPUTED_VALUE"""),"Pérdida Reputacional")</f>
        <v>Pérdida Reputacional</v>
      </c>
      <c r="C223" s="81"/>
      <c r="F223" s="82" t="s">
        <v>160</v>
      </c>
    </row>
    <row r="224" spans="2:8" ht="15.75" customHeight="1" x14ac:dyDescent="0.35">
      <c r="B224" s="78"/>
      <c r="C224" s="78"/>
      <c r="F224" s="82" t="s">
        <v>161</v>
      </c>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B1:F15"/>
  <sheetViews>
    <sheetView workbookViewId="0">
      <selection activeCell="E7" sqref="E7"/>
    </sheetView>
  </sheetViews>
  <sheetFormatPr baseColWidth="10" defaultColWidth="12.58203125" defaultRowHeight="15" customHeight="1" x14ac:dyDescent="0.3"/>
  <cols>
    <col min="1" max="2" width="12.5" customWidth="1"/>
    <col min="3" max="3" width="14.83203125" customWidth="1"/>
    <col min="4" max="4" width="12.5" customWidth="1"/>
    <col min="5" max="5" width="40.25" customWidth="1"/>
    <col min="6" max="26" width="12.5" customWidth="1"/>
  </cols>
  <sheetData>
    <row r="1" spans="2:6" ht="24" customHeight="1" x14ac:dyDescent="0.3">
      <c r="B1" s="293" t="s">
        <v>162</v>
      </c>
      <c r="C1" s="294"/>
      <c r="D1" s="294"/>
      <c r="E1" s="294"/>
      <c r="F1" s="295"/>
    </row>
    <row r="2" spans="2:6" ht="12.75" customHeight="1" x14ac:dyDescent="0.35">
      <c r="B2" s="83"/>
      <c r="C2" s="83"/>
      <c r="D2" s="83"/>
      <c r="E2" s="83"/>
      <c r="F2" s="83"/>
    </row>
    <row r="3" spans="2:6" ht="12.75" customHeight="1" x14ac:dyDescent="0.3">
      <c r="B3" s="296" t="s">
        <v>163</v>
      </c>
      <c r="C3" s="294"/>
      <c r="D3" s="297"/>
      <c r="E3" s="84" t="s">
        <v>164</v>
      </c>
      <c r="F3" s="85" t="s">
        <v>165</v>
      </c>
    </row>
    <row r="4" spans="2:6" ht="12.75" customHeight="1" x14ac:dyDescent="0.3">
      <c r="B4" s="298" t="s">
        <v>166</v>
      </c>
      <c r="C4" s="301" t="s">
        <v>86</v>
      </c>
      <c r="D4" s="86" t="s">
        <v>167</v>
      </c>
      <c r="E4" s="87" t="s">
        <v>168</v>
      </c>
      <c r="F4" s="88">
        <v>0.25</v>
      </c>
    </row>
    <row r="5" spans="2:6" ht="12.75" customHeight="1" x14ac:dyDescent="0.3">
      <c r="B5" s="299"/>
      <c r="C5" s="302"/>
      <c r="D5" s="89" t="s">
        <v>169</v>
      </c>
      <c r="E5" s="90" t="s">
        <v>170</v>
      </c>
      <c r="F5" s="91">
        <v>0.15</v>
      </c>
    </row>
    <row r="6" spans="2:6" ht="12.75" customHeight="1" x14ac:dyDescent="0.3">
      <c r="B6" s="299"/>
      <c r="C6" s="291"/>
      <c r="D6" s="89" t="s">
        <v>171</v>
      </c>
      <c r="E6" s="90" t="s">
        <v>172</v>
      </c>
      <c r="F6" s="91">
        <v>0.1</v>
      </c>
    </row>
    <row r="7" spans="2:6" ht="12.75" customHeight="1" x14ac:dyDescent="0.3">
      <c r="B7" s="299"/>
      <c r="C7" s="290" t="s">
        <v>87</v>
      </c>
      <c r="D7" s="89" t="s">
        <v>173</v>
      </c>
      <c r="E7" s="90" t="s">
        <v>174</v>
      </c>
      <c r="F7" s="91">
        <v>0.25</v>
      </c>
    </row>
    <row r="8" spans="2:6" ht="12.75" customHeight="1" x14ac:dyDescent="0.3">
      <c r="B8" s="300"/>
      <c r="C8" s="291"/>
      <c r="D8" s="89" t="s">
        <v>175</v>
      </c>
      <c r="E8" s="90" t="s">
        <v>176</v>
      </c>
      <c r="F8" s="91">
        <v>0.15</v>
      </c>
    </row>
    <row r="9" spans="2:6" ht="12.75" customHeight="1" x14ac:dyDescent="0.3">
      <c r="B9" s="303" t="s">
        <v>177</v>
      </c>
      <c r="C9" s="290" t="s">
        <v>89</v>
      </c>
      <c r="D9" s="89" t="s">
        <v>178</v>
      </c>
      <c r="E9" s="90" t="s">
        <v>179</v>
      </c>
      <c r="F9" s="92" t="s">
        <v>180</v>
      </c>
    </row>
    <row r="10" spans="2:6" ht="12.75" customHeight="1" x14ac:dyDescent="0.3">
      <c r="B10" s="299"/>
      <c r="C10" s="291"/>
      <c r="D10" s="89" t="s">
        <v>181</v>
      </c>
      <c r="E10" s="90" t="s">
        <v>182</v>
      </c>
      <c r="F10" s="92" t="s">
        <v>180</v>
      </c>
    </row>
    <row r="11" spans="2:6" ht="12.75" customHeight="1" x14ac:dyDescent="0.3">
      <c r="B11" s="299"/>
      <c r="C11" s="290" t="s">
        <v>90</v>
      </c>
      <c r="D11" s="89" t="s">
        <v>183</v>
      </c>
      <c r="E11" s="90" t="s">
        <v>184</v>
      </c>
      <c r="F11" s="92" t="s">
        <v>180</v>
      </c>
    </row>
    <row r="12" spans="2:6" ht="12.75" customHeight="1" x14ac:dyDescent="0.3">
      <c r="B12" s="299"/>
      <c r="C12" s="291"/>
      <c r="D12" s="89" t="s">
        <v>185</v>
      </c>
      <c r="E12" s="90" t="s">
        <v>186</v>
      </c>
      <c r="F12" s="92" t="s">
        <v>180</v>
      </c>
    </row>
    <row r="13" spans="2:6" ht="12.75" customHeight="1" x14ac:dyDescent="0.3">
      <c r="B13" s="299"/>
      <c r="C13" s="290" t="s">
        <v>91</v>
      </c>
      <c r="D13" s="89" t="s">
        <v>187</v>
      </c>
      <c r="E13" s="90" t="s">
        <v>188</v>
      </c>
      <c r="F13" s="92" t="s">
        <v>180</v>
      </c>
    </row>
    <row r="14" spans="2:6" ht="12.75" customHeight="1" x14ac:dyDescent="0.3">
      <c r="B14" s="304"/>
      <c r="C14" s="292"/>
      <c r="D14" s="93" t="s">
        <v>189</v>
      </c>
      <c r="E14" s="94" t="s">
        <v>190</v>
      </c>
      <c r="F14" s="95" t="s">
        <v>180</v>
      </c>
    </row>
    <row r="15" spans="2:6" ht="49.5" customHeight="1" x14ac:dyDescent="0.3">
      <c r="B15" s="288" t="s">
        <v>191</v>
      </c>
      <c r="C15" s="196"/>
      <c r="D15" s="196"/>
      <c r="E15" s="196"/>
      <c r="F15" s="28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5"/>
  <sheetViews>
    <sheetView workbookViewId="0">
      <selection activeCell="F19" sqref="F19"/>
    </sheetView>
  </sheetViews>
  <sheetFormatPr baseColWidth="10" defaultColWidth="11" defaultRowHeight="14" x14ac:dyDescent="0.3"/>
  <sheetData>
    <row r="2" spans="2:12" x14ac:dyDescent="0.3">
      <c r="B2" s="100"/>
      <c r="C2" s="310" t="s">
        <v>226</v>
      </c>
      <c r="D2" s="310"/>
      <c r="E2" s="310"/>
      <c r="F2" s="310"/>
      <c r="G2" s="310"/>
      <c r="H2" s="310"/>
      <c r="I2" s="310"/>
      <c r="J2" s="310"/>
      <c r="K2" s="310"/>
      <c r="L2" s="310"/>
    </row>
    <row r="3" spans="2:12" ht="14.5" thickBot="1" x14ac:dyDescent="0.35">
      <c r="B3" s="100"/>
      <c r="C3" s="101"/>
      <c r="G3" s="100"/>
      <c r="H3" s="100"/>
      <c r="I3" s="100"/>
      <c r="J3" s="100"/>
      <c r="K3" s="100"/>
      <c r="L3" s="100"/>
    </row>
    <row r="4" spans="2:12" x14ac:dyDescent="0.3">
      <c r="B4" s="311" t="s">
        <v>227</v>
      </c>
      <c r="C4" s="312"/>
      <c r="D4" s="312" t="s">
        <v>228</v>
      </c>
      <c r="E4" s="312"/>
      <c r="F4" s="312"/>
      <c r="G4" s="312"/>
      <c r="H4" s="312" t="s">
        <v>229</v>
      </c>
      <c r="I4" s="312"/>
      <c r="J4" s="312"/>
      <c r="K4" s="312" t="s">
        <v>230</v>
      </c>
      <c r="L4" s="313"/>
    </row>
    <row r="5" spans="2:12" ht="14.5" thickBot="1" x14ac:dyDescent="0.35">
      <c r="B5" s="305"/>
      <c r="C5" s="306"/>
      <c r="D5" s="307"/>
      <c r="E5" s="307"/>
      <c r="F5" s="307"/>
      <c r="G5" s="307"/>
      <c r="H5" s="308"/>
      <c r="I5" s="308"/>
      <c r="J5" s="308"/>
      <c r="K5" s="308"/>
      <c r="L5" s="309"/>
    </row>
    <row r="6" spans="2:12" x14ac:dyDescent="0.3">
      <c r="B6" s="100"/>
      <c r="C6" s="102"/>
      <c r="G6" s="100"/>
      <c r="H6" s="100"/>
      <c r="I6" s="100"/>
      <c r="J6" s="100"/>
      <c r="K6" s="100"/>
      <c r="L6" s="100"/>
    </row>
    <row r="7" spans="2:12" ht="14.5" thickBot="1" x14ac:dyDescent="0.35">
      <c r="B7" s="100"/>
      <c r="C7" s="102"/>
      <c r="G7" s="100"/>
      <c r="H7" s="100"/>
      <c r="I7" s="100"/>
      <c r="J7" s="100"/>
      <c r="K7" s="100"/>
      <c r="L7" s="100"/>
    </row>
    <row r="8" spans="2:12" x14ac:dyDescent="0.3">
      <c r="B8" s="314" t="s">
        <v>231</v>
      </c>
      <c r="C8" s="315"/>
      <c r="D8" s="315"/>
      <c r="E8" s="316"/>
      <c r="F8" s="314" t="s">
        <v>232</v>
      </c>
      <c r="G8" s="315"/>
      <c r="H8" s="315"/>
      <c r="I8" s="316"/>
      <c r="J8" s="314" t="s">
        <v>233</v>
      </c>
      <c r="K8" s="315"/>
      <c r="L8" s="316"/>
    </row>
    <row r="9" spans="2:12" x14ac:dyDescent="0.3">
      <c r="B9" s="317"/>
      <c r="C9" s="318"/>
      <c r="D9" s="318"/>
      <c r="E9" s="319"/>
      <c r="F9" s="320"/>
      <c r="G9" s="321"/>
      <c r="H9" s="321"/>
      <c r="I9" s="322"/>
      <c r="J9" s="320"/>
      <c r="K9" s="321"/>
      <c r="L9" s="322"/>
    </row>
    <row r="10" spans="2:12" x14ac:dyDescent="0.3">
      <c r="B10" s="317"/>
      <c r="C10" s="318"/>
      <c r="D10" s="318"/>
      <c r="E10" s="319"/>
      <c r="F10" s="320"/>
      <c r="G10" s="321"/>
      <c r="H10" s="321"/>
      <c r="I10" s="322"/>
      <c r="J10" s="320"/>
      <c r="K10" s="321"/>
      <c r="L10" s="322"/>
    </row>
    <row r="11" spans="2:12" x14ac:dyDescent="0.3">
      <c r="B11" s="317"/>
      <c r="C11" s="318"/>
      <c r="D11" s="318"/>
      <c r="E11" s="319"/>
      <c r="F11" s="320"/>
      <c r="G11" s="321"/>
      <c r="H11" s="321"/>
      <c r="I11" s="322"/>
      <c r="J11" s="320"/>
      <c r="K11" s="321"/>
      <c r="L11" s="322"/>
    </row>
    <row r="12" spans="2:12" x14ac:dyDescent="0.3">
      <c r="B12" s="317"/>
      <c r="C12" s="318"/>
      <c r="D12" s="318"/>
      <c r="E12" s="319"/>
      <c r="F12" s="320"/>
      <c r="G12" s="321"/>
      <c r="H12" s="321"/>
      <c r="I12" s="322"/>
      <c r="J12" s="320"/>
      <c r="K12" s="321"/>
      <c r="L12" s="322"/>
    </row>
    <row r="13" spans="2:12" x14ac:dyDescent="0.3">
      <c r="B13" s="323" t="s">
        <v>234</v>
      </c>
      <c r="C13" s="324"/>
      <c r="D13" s="324"/>
      <c r="E13" s="325"/>
      <c r="F13" s="323" t="s">
        <v>235</v>
      </c>
      <c r="G13" s="324"/>
      <c r="H13" s="324"/>
      <c r="I13" s="325"/>
      <c r="J13" s="323" t="s">
        <v>236</v>
      </c>
      <c r="K13" s="324"/>
      <c r="L13" s="325"/>
    </row>
    <row r="14" spans="2:12" x14ac:dyDescent="0.3">
      <c r="B14" s="323" t="s">
        <v>237</v>
      </c>
      <c r="C14" s="324"/>
      <c r="D14" s="324"/>
      <c r="E14" s="325"/>
      <c r="F14" s="323" t="s">
        <v>238</v>
      </c>
      <c r="G14" s="324"/>
      <c r="H14" s="324"/>
      <c r="I14" s="325"/>
      <c r="J14" s="323" t="s">
        <v>239</v>
      </c>
      <c r="K14" s="324"/>
      <c r="L14" s="325"/>
    </row>
    <row r="15" spans="2:12" ht="14.5" thickBot="1" x14ac:dyDescent="0.35">
      <c r="B15" s="326"/>
      <c r="C15" s="327"/>
      <c r="D15" s="327"/>
      <c r="E15" s="328"/>
      <c r="F15" s="329"/>
      <c r="G15" s="330"/>
      <c r="H15" s="330"/>
      <c r="I15" s="331"/>
      <c r="J15" s="326"/>
      <c r="K15" s="327"/>
      <c r="L15" s="328"/>
    </row>
  </sheetData>
  <mergeCells count="33">
    <mergeCell ref="B14:E14"/>
    <mergeCell ref="F14:I14"/>
    <mergeCell ref="J14:L14"/>
    <mergeCell ref="B15:E15"/>
    <mergeCell ref="F15:I15"/>
    <mergeCell ref="J15:L15"/>
    <mergeCell ref="B12:E12"/>
    <mergeCell ref="F12:I12"/>
    <mergeCell ref="J12:L12"/>
    <mergeCell ref="B13:E13"/>
    <mergeCell ref="F13:I13"/>
    <mergeCell ref="J13:L13"/>
    <mergeCell ref="B10:E10"/>
    <mergeCell ref="F10:I10"/>
    <mergeCell ref="J10:L10"/>
    <mergeCell ref="B11:E11"/>
    <mergeCell ref="F11:I11"/>
    <mergeCell ref="J11:L11"/>
    <mergeCell ref="B8:E8"/>
    <mergeCell ref="F8:I8"/>
    <mergeCell ref="J8:L8"/>
    <mergeCell ref="B9:E9"/>
    <mergeCell ref="F9:I9"/>
    <mergeCell ref="J9:L9"/>
    <mergeCell ref="B5:C5"/>
    <mergeCell ref="D5:G5"/>
    <mergeCell ref="H5:J5"/>
    <mergeCell ref="K5:L5"/>
    <mergeCell ref="C2:L2"/>
    <mergeCell ref="B4:C4"/>
    <mergeCell ref="D4:G4"/>
    <mergeCell ref="H4:J4"/>
    <mergeCell ref="K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heetViews>
  <sheetFormatPr baseColWidth="10" defaultColWidth="12.58203125" defaultRowHeight="15" customHeight="1" x14ac:dyDescent="0.3"/>
  <cols>
    <col min="1" max="26" width="9.33203125" customWidth="1"/>
  </cols>
  <sheetData>
    <row r="2" spans="2:5" ht="15" customHeight="1" x14ac:dyDescent="0.35">
      <c r="B2" s="80" t="s">
        <v>192</v>
      </c>
      <c r="E2" s="80" t="s">
        <v>193</v>
      </c>
    </row>
    <row r="3" spans="2:5" ht="15" customHeight="1" x14ac:dyDescent="0.35">
      <c r="B3" s="80" t="s">
        <v>194</v>
      </c>
      <c r="E3" s="80" t="s">
        <v>195</v>
      </c>
    </row>
    <row r="4" spans="2:5" ht="15" customHeight="1" x14ac:dyDescent="0.35">
      <c r="B4" s="80" t="s">
        <v>196</v>
      </c>
      <c r="E4" s="80" t="s">
        <v>197</v>
      </c>
    </row>
    <row r="5" spans="2:5" ht="15" customHeight="1" x14ac:dyDescent="0.35">
      <c r="B5" s="80" t="s">
        <v>198</v>
      </c>
    </row>
    <row r="8" spans="2:5" ht="15" customHeight="1" x14ac:dyDescent="0.35">
      <c r="B8" s="80" t="s">
        <v>199</v>
      </c>
    </row>
    <row r="9" spans="2:5" ht="15" customHeight="1" x14ac:dyDescent="0.35">
      <c r="B9" s="80" t="s">
        <v>200</v>
      </c>
    </row>
    <row r="10" spans="2:5" ht="15" customHeight="1" x14ac:dyDescent="0.35">
      <c r="B10" s="80" t="s">
        <v>201</v>
      </c>
    </row>
    <row r="13" spans="2:5" ht="15" customHeight="1" x14ac:dyDescent="0.35">
      <c r="B13" s="80" t="s">
        <v>202</v>
      </c>
    </row>
    <row r="14" spans="2:5" ht="15" customHeight="1" x14ac:dyDescent="0.35">
      <c r="B14" s="80" t="s">
        <v>203</v>
      </c>
    </row>
    <row r="15" spans="2:5" ht="15" customHeight="1" x14ac:dyDescent="0.35">
      <c r="B15" s="80" t="s">
        <v>204</v>
      </c>
    </row>
    <row r="16" spans="2:5" ht="15" customHeight="1" x14ac:dyDescent="0.35">
      <c r="B16" s="80" t="s">
        <v>205</v>
      </c>
    </row>
    <row r="17" spans="2:2" ht="15" customHeight="1" x14ac:dyDescent="0.35">
      <c r="B17" s="80" t="s">
        <v>206</v>
      </c>
    </row>
    <row r="18" spans="2:2" ht="15" customHeight="1" x14ac:dyDescent="0.35">
      <c r="B18" s="80" t="s">
        <v>207</v>
      </c>
    </row>
    <row r="19" spans="2:2" ht="15" customHeight="1" x14ac:dyDescent="0.35">
      <c r="B19" s="80" t="s">
        <v>208</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heetViews>
  <sheetFormatPr baseColWidth="10" defaultColWidth="12.58203125" defaultRowHeight="15" customHeight="1" x14ac:dyDescent="0.3"/>
  <cols>
    <col min="1" max="1" width="28.75" customWidth="1"/>
    <col min="2" max="26" width="10" customWidth="1"/>
  </cols>
  <sheetData>
    <row r="3" spans="1:1" ht="12.75" customHeight="1" x14ac:dyDescent="0.3">
      <c r="A3" s="97" t="s">
        <v>167</v>
      </c>
    </row>
    <row r="4" spans="1:1" ht="12.75" customHeight="1" x14ac:dyDescent="0.3">
      <c r="A4" s="97" t="s">
        <v>169</v>
      </c>
    </row>
    <row r="5" spans="1:1" ht="12.75" customHeight="1" x14ac:dyDescent="0.3">
      <c r="A5" s="97" t="s">
        <v>171</v>
      </c>
    </row>
    <row r="6" spans="1:1" ht="12.75" customHeight="1" x14ac:dyDescent="0.3">
      <c r="A6" s="97" t="s">
        <v>173</v>
      </c>
    </row>
    <row r="7" spans="1:1" ht="12.75" customHeight="1" x14ac:dyDescent="0.3">
      <c r="A7" s="97" t="s">
        <v>175</v>
      </c>
    </row>
    <row r="8" spans="1:1" ht="12.75" customHeight="1" x14ac:dyDescent="0.3">
      <c r="A8" s="97" t="s">
        <v>178</v>
      </c>
    </row>
    <row r="9" spans="1:1" ht="12.75" customHeight="1" x14ac:dyDescent="0.3">
      <c r="A9" s="97" t="s">
        <v>181</v>
      </c>
    </row>
    <row r="10" spans="1:1" ht="12.75" customHeight="1" x14ac:dyDescent="0.3">
      <c r="A10" s="97" t="s">
        <v>183</v>
      </c>
    </row>
    <row r="11" spans="1:1" ht="12.75" customHeight="1" x14ac:dyDescent="0.3">
      <c r="A11" s="97" t="s">
        <v>185</v>
      </c>
    </row>
    <row r="12" spans="1:1" ht="12.75" customHeight="1" x14ac:dyDescent="0.3">
      <c r="A12" s="97" t="s">
        <v>209</v>
      </c>
    </row>
    <row r="13" spans="1:1" ht="12.75" customHeight="1" x14ac:dyDescent="0.3">
      <c r="A13" s="97" t="s">
        <v>210</v>
      </c>
    </row>
    <row r="14" spans="1:1" ht="12.75" customHeight="1" x14ac:dyDescent="0.3">
      <c r="A14" s="97" t="s">
        <v>211</v>
      </c>
    </row>
    <row r="15" spans="1:1" ht="12.75" customHeight="1" x14ac:dyDescent="0.3">
      <c r="A15" s="96"/>
    </row>
    <row r="16" spans="1:1" ht="12.75" customHeight="1" x14ac:dyDescent="0.3">
      <c r="A16" s="97" t="s">
        <v>212</v>
      </c>
    </row>
    <row r="17" spans="1:1" ht="12.75" customHeight="1" x14ac:dyDescent="0.3">
      <c r="A17" s="97" t="s">
        <v>192</v>
      </c>
    </row>
    <row r="18" spans="1:1" ht="12.75" customHeight="1" x14ac:dyDescent="0.3">
      <c r="A18" s="97" t="s">
        <v>194</v>
      </c>
    </row>
    <row r="19" spans="1:1" ht="12.75" customHeight="1" x14ac:dyDescent="0.3">
      <c r="A19" s="96"/>
    </row>
    <row r="20" spans="1:1" ht="12.75" customHeight="1" x14ac:dyDescent="0.3">
      <c r="A20" s="97" t="s">
        <v>200</v>
      </c>
    </row>
    <row r="21" spans="1:1" ht="12.75" customHeight="1" x14ac:dyDescent="0.3">
      <c r="A21" s="97" t="s">
        <v>201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Oficina de Planeacion de Gestion Institucional</cp:lastModifiedBy>
  <cp:lastPrinted>2023-11-30T22:01:40Z</cp:lastPrinted>
  <dcterms:created xsi:type="dcterms:W3CDTF">2020-03-24T23:12:47Z</dcterms:created>
  <dcterms:modified xsi:type="dcterms:W3CDTF">2025-08-22T16:17:39Z</dcterms:modified>
</cp:coreProperties>
</file>