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escritorio\Alcaldia de Pasto\2025\MAPAS DE RIESGO\2025\mapas de riesgos\"/>
    </mc:Choice>
  </mc:AlternateContent>
  <xr:revisionPtr revIDLastSave="0" documentId="13_ncr:1_{CB6BA082-F746-4A41-9349-09A67AA55A58}" xr6:coauthVersionLast="47" xr6:coauthVersionMax="47" xr10:uidLastSave="{00000000-0000-0000-0000-000000000000}"/>
  <bookViews>
    <workbookView xWindow="-120" yWindow="-120" windowWidth="20730" windowHeight="1131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2" l="1"/>
  <c r="I23" i="2" s="1"/>
  <c r="H30" i="2"/>
  <c r="I30" i="2" s="1"/>
  <c r="H37" i="2"/>
  <c r="I37" i="2" s="1"/>
  <c r="H44" i="2"/>
  <c r="I44" i="2" s="1"/>
  <c r="H51" i="2"/>
  <c r="I51" i="2" s="1"/>
  <c r="H58" i="2"/>
  <c r="H65" i="2"/>
  <c r="I65" i="2" s="1"/>
  <c r="H72" i="2"/>
  <c r="I72" i="2"/>
  <c r="H79" i="2"/>
  <c r="I79" i="2" s="1"/>
  <c r="H86" i="2"/>
  <c r="I86" i="2" s="1"/>
  <c r="H93" i="2"/>
  <c r="I93" i="2" s="1"/>
  <c r="H100" i="2"/>
  <c r="I100" i="2"/>
  <c r="H107" i="2"/>
  <c r="I107" i="2" s="1"/>
  <c r="H114" i="2"/>
  <c r="I114" i="2" s="1"/>
  <c r="H121" i="2"/>
  <c r="I121" i="2" s="1"/>
  <c r="K23" i="2"/>
  <c r="L23" i="2" s="1"/>
  <c r="K30" i="2"/>
  <c r="L30" i="2" s="1"/>
  <c r="K37" i="2"/>
  <c r="L37" i="2" s="1"/>
  <c r="K44" i="2"/>
  <c r="L44" i="2" s="1"/>
  <c r="K51" i="2"/>
  <c r="L51" i="2" s="1"/>
  <c r="K58" i="2"/>
  <c r="L58" i="2" s="1"/>
  <c r="M58" i="2" s="1"/>
  <c r="K65" i="2"/>
  <c r="L65" i="2" s="1"/>
  <c r="K72" i="2"/>
  <c r="L72" i="2" s="1"/>
  <c r="K79" i="2"/>
  <c r="L79" i="2" s="1"/>
  <c r="K86" i="2"/>
  <c r="L86" i="2"/>
  <c r="M86" i="2" s="1"/>
  <c r="K93" i="2"/>
  <c r="L93" i="2" s="1"/>
  <c r="K100" i="2"/>
  <c r="L100" i="2" s="1"/>
  <c r="K107" i="2"/>
  <c r="L107" i="2" s="1"/>
  <c r="K114" i="2"/>
  <c r="L114" i="2"/>
  <c r="M114" i="2" s="1"/>
  <c r="K121" i="2"/>
  <c r="L121" i="2" s="1"/>
  <c r="K16" i="2"/>
  <c r="L16" i="2" s="1"/>
  <c r="M16" i="2" s="1"/>
  <c r="N100" i="2" l="1"/>
  <c r="M100" i="2"/>
  <c r="M44" i="2"/>
  <c r="N44" i="2"/>
  <c r="M72" i="2"/>
  <c r="N72" i="2"/>
  <c r="N58" i="2"/>
  <c r="N114" i="2"/>
  <c r="N86" i="2"/>
  <c r="I58" i="2"/>
  <c r="M93" i="2"/>
  <c r="N93" i="2"/>
  <c r="M65" i="2"/>
  <c r="N65" i="2"/>
  <c r="M51" i="2"/>
  <c r="N51" i="2"/>
  <c r="M107" i="2"/>
  <c r="N107" i="2"/>
  <c r="N121" i="2"/>
  <c r="M121" i="2"/>
  <c r="M37" i="2"/>
  <c r="N37" i="2"/>
  <c r="M79" i="2"/>
  <c r="N79" i="2"/>
  <c r="N30" i="2"/>
  <c r="M30" i="2"/>
  <c r="M23" i="2"/>
  <c r="N23" i="2"/>
  <c r="T17" i="2"/>
  <c r="T18" i="2"/>
  <c r="T19" i="2"/>
  <c r="T20" i="2"/>
  <c r="T21" i="2"/>
  <c r="T22" i="2"/>
  <c r="T23" i="2"/>
  <c r="T24" i="2"/>
  <c r="T25" i="2"/>
  <c r="T26" i="2"/>
  <c r="T27" i="2"/>
  <c r="X27" i="2"/>
  <c r="T28" i="2"/>
  <c r="T29" i="2"/>
  <c r="T30" i="2"/>
  <c r="T31" i="2"/>
  <c r="T32" i="2"/>
  <c r="T33" i="2"/>
  <c r="T34" i="2"/>
  <c r="T35" i="2"/>
  <c r="T36" i="2"/>
  <c r="T37" i="2"/>
  <c r="T38" i="2"/>
  <c r="T39" i="2"/>
  <c r="T40" i="2"/>
  <c r="T41" i="2"/>
  <c r="T42" i="2"/>
  <c r="T43" i="2"/>
  <c r="X43" i="2"/>
  <c r="T44" i="2"/>
  <c r="T45" i="2"/>
  <c r="T46" i="2"/>
  <c r="T47" i="2"/>
  <c r="AB47" i="2"/>
  <c r="AA47" i="2" s="1"/>
  <c r="T48" i="2"/>
  <c r="T49" i="2"/>
  <c r="T50" i="2"/>
  <c r="T51" i="2"/>
  <c r="X51" i="2"/>
  <c r="T52" i="2"/>
  <c r="T53" i="2"/>
  <c r="T54" i="2"/>
  <c r="T55" i="2"/>
  <c r="T56" i="2"/>
  <c r="T57" i="2"/>
  <c r="T58" i="2"/>
  <c r="T59" i="2"/>
  <c r="X59" i="2"/>
  <c r="T60" i="2"/>
  <c r="T61" i="2"/>
  <c r="T62" i="2"/>
  <c r="T63" i="2"/>
  <c r="T64" i="2"/>
  <c r="T65" i="2"/>
  <c r="T66" i="2"/>
  <c r="T67" i="2"/>
  <c r="X67" i="2"/>
  <c r="T68" i="2"/>
  <c r="T69" i="2"/>
  <c r="T70" i="2"/>
  <c r="T71" i="2"/>
  <c r="AB71" i="2"/>
  <c r="AA71" i="2" s="1"/>
  <c r="T72" i="2"/>
  <c r="T73" i="2"/>
  <c r="T74" i="2"/>
  <c r="T75" i="2"/>
  <c r="X75" i="2"/>
  <c r="T76" i="2"/>
  <c r="T77" i="2"/>
  <c r="T78" i="2"/>
  <c r="T79" i="2"/>
  <c r="AB79" i="2"/>
  <c r="AA79" i="2" s="1"/>
  <c r="T80" i="2"/>
  <c r="T81" i="2"/>
  <c r="T82" i="2"/>
  <c r="T83" i="2"/>
  <c r="X83" i="2"/>
  <c r="T84" i="2"/>
  <c r="T85" i="2"/>
  <c r="T86" i="2"/>
  <c r="T87" i="2"/>
  <c r="T88" i="2"/>
  <c r="T89" i="2"/>
  <c r="T90" i="2"/>
  <c r="T91" i="2"/>
  <c r="X91" i="2"/>
  <c r="T92" i="2"/>
  <c r="T93" i="2"/>
  <c r="T94" i="2"/>
  <c r="T95" i="2"/>
  <c r="T96" i="2"/>
  <c r="T97" i="2"/>
  <c r="T98" i="2"/>
  <c r="X98" i="2"/>
  <c r="T99" i="2"/>
  <c r="X99" i="2"/>
  <c r="Z99" i="2" s="1"/>
  <c r="T100" i="2"/>
  <c r="T101" i="2"/>
  <c r="T102" i="2"/>
  <c r="AB102" i="2"/>
  <c r="AA102" i="2" s="1"/>
  <c r="T103" i="2"/>
  <c r="T104" i="2"/>
  <c r="T105" i="2"/>
  <c r="T106" i="2"/>
  <c r="X106" i="2"/>
  <c r="T107" i="2"/>
  <c r="X107" i="2"/>
  <c r="Z107" i="2" s="1"/>
  <c r="Y107" i="2"/>
  <c r="T108" i="2"/>
  <c r="T109" i="2"/>
  <c r="T110" i="2"/>
  <c r="AA110" i="2"/>
  <c r="AB110" i="2"/>
  <c r="T111" i="2"/>
  <c r="T112" i="2"/>
  <c r="T113" i="2"/>
  <c r="T114" i="2"/>
  <c r="X114" i="2"/>
  <c r="T115" i="2"/>
  <c r="X115" i="2"/>
  <c r="Z115" i="2" s="1"/>
  <c r="T116" i="2"/>
  <c r="T117" i="2"/>
  <c r="AA117" i="2"/>
  <c r="T118" i="2"/>
  <c r="X118" i="2"/>
  <c r="Y118" i="2" s="1"/>
  <c r="AB118" i="2"/>
  <c r="AA118" i="2" s="1"/>
  <c r="T119" i="2"/>
  <c r="AB119" i="2"/>
  <c r="AA119" i="2" s="1"/>
  <c r="T120" i="2"/>
  <c r="T121" i="2"/>
  <c r="T122" i="2"/>
  <c r="X122" i="2"/>
  <c r="AB122" i="2"/>
  <c r="AA122" i="2" s="1"/>
  <c r="T123" i="2"/>
  <c r="X123" i="2"/>
  <c r="Z123" i="2" s="1"/>
  <c r="T124" i="2"/>
  <c r="T125" i="2"/>
  <c r="AA125" i="2"/>
  <c r="T126" i="2"/>
  <c r="X126" i="2"/>
  <c r="AB126" i="2"/>
  <c r="AA126" i="2" s="1"/>
  <c r="T127" i="2"/>
  <c r="Q17" i="2"/>
  <c r="Q18" i="2"/>
  <c r="X18" i="2" s="1"/>
  <c r="Q19" i="2"/>
  <c r="AB19" i="2" s="1"/>
  <c r="AA19" i="2" s="1"/>
  <c r="Q20" i="2"/>
  <c r="Q21" i="2"/>
  <c r="AB21" i="2" s="1"/>
  <c r="AA21" i="2" s="1"/>
  <c r="Q22" i="2"/>
  <c r="AB22" i="2" s="1"/>
  <c r="AA22" i="2" s="1"/>
  <c r="Q23" i="2"/>
  <c r="X23" i="2" s="1"/>
  <c r="Q24" i="2"/>
  <c r="Q25" i="2"/>
  <c r="X25" i="2" s="1"/>
  <c r="Q26" i="2"/>
  <c r="X26" i="2" s="1"/>
  <c r="Q27" i="2"/>
  <c r="AB27" i="2" s="1"/>
  <c r="AA27" i="2" s="1"/>
  <c r="Q28" i="2"/>
  <c r="Q29" i="2"/>
  <c r="AB29" i="2" s="1"/>
  <c r="AA29" i="2" s="1"/>
  <c r="Q30" i="2"/>
  <c r="AB30" i="2" s="1"/>
  <c r="AA30" i="2" s="1"/>
  <c r="Q31" i="2"/>
  <c r="Q32" i="2"/>
  <c r="Q33" i="2"/>
  <c r="Q34" i="2"/>
  <c r="X34" i="2" s="1"/>
  <c r="Q35" i="2"/>
  <c r="AB35" i="2" s="1"/>
  <c r="AA35" i="2" s="1"/>
  <c r="Q36" i="2"/>
  <c r="Q37" i="2"/>
  <c r="AB37" i="2" s="1"/>
  <c r="AA37" i="2" s="1"/>
  <c r="Q38" i="2"/>
  <c r="AB38" i="2" s="1"/>
  <c r="AA38" i="2" s="1"/>
  <c r="Q39" i="2"/>
  <c r="Q40" i="2"/>
  <c r="Q41" i="2"/>
  <c r="X41" i="2" s="1"/>
  <c r="Q42" i="2"/>
  <c r="X42" i="2" s="1"/>
  <c r="Q43" i="2"/>
  <c r="AB43" i="2" s="1"/>
  <c r="AA43" i="2" s="1"/>
  <c r="Q44" i="2"/>
  <c r="Q45" i="2"/>
  <c r="AB45" i="2" s="1"/>
  <c r="AA45" i="2" s="1"/>
  <c r="Q46" i="2"/>
  <c r="AB46" i="2" s="1"/>
  <c r="AA46" i="2" s="1"/>
  <c r="Q47" i="2"/>
  <c r="X47" i="2" s="1"/>
  <c r="Q48" i="2"/>
  <c r="Q49" i="2"/>
  <c r="X49" i="2" s="1"/>
  <c r="Q50" i="2"/>
  <c r="X50" i="2" s="1"/>
  <c r="Q51" i="2"/>
  <c r="AB51" i="2" s="1"/>
  <c r="AA51" i="2" s="1"/>
  <c r="Q52" i="2"/>
  <c r="Q53" i="2"/>
  <c r="AB53" i="2" s="1"/>
  <c r="AA53" i="2" s="1"/>
  <c r="Q54" i="2"/>
  <c r="AB54" i="2" s="1"/>
  <c r="AA54" i="2" s="1"/>
  <c r="Q55" i="2"/>
  <c r="X55" i="2" s="1"/>
  <c r="Q56" i="2"/>
  <c r="Q57" i="2"/>
  <c r="X57" i="2" s="1"/>
  <c r="Q58" i="2"/>
  <c r="X58" i="2" s="1"/>
  <c r="Q59" i="2"/>
  <c r="AB59" i="2" s="1"/>
  <c r="AA59" i="2" s="1"/>
  <c r="Q60" i="2"/>
  <c r="Q61" i="2"/>
  <c r="AB61" i="2" s="1"/>
  <c r="AA61" i="2" s="1"/>
  <c r="Q62" i="2"/>
  <c r="AB62" i="2" s="1"/>
  <c r="AA62" i="2" s="1"/>
  <c r="Q63" i="2"/>
  <c r="X63" i="2" s="1"/>
  <c r="Q64" i="2"/>
  <c r="Q65" i="2"/>
  <c r="X65" i="2" s="1"/>
  <c r="Q66" i="2"/>
  <c r="X66" i="2" s="1"/>
  <c r="Q67" i="2"/>
  <c r="AB67" i="2" s="1"/>
  <c r="AA67" i="2" s="1"/>
  <c r="Q68" i="2"/>
  <c r="Q69" i="2"/>
  <c r="AB69" i="2" s="1"/>
  <c r="AA69" i="2" s="1"/>
  <c r="Q70" i="2"/>
  <c r="AB70" i="2" s="1"/>
  <c r="AA70" i="2" s="1"/>
  <c r="Q71" i="2"/>
  <c r="X71" i="2" s="1"/>
  <c r="Q72" i="2"/>
  <c r="Q73" i="2"/>
  <c r="X73" i="2" s="1"/>
  <c r="Q74" i="2"/>
  <c r="X74" i="2" s="1"/>
  <c r="Q75" i="2"/>
  <c r="AB75" i="2" s="1"/>
  <c r="AA75" i="2" s="1"/>
  <c r="Q76" i="2"/>
  <c r="Q77" i="2"/>
  <c r="AB77" i="2" s="1"/>
  <c r="AA77" i="2" s="1"/>
  <c r="Q78" i="2"/>
  <c r="AB78" i="2" s="1"/>
  <c r="AA78" i="2" s="1"/>
  <c r="Q79" i="2"/>
  <c r="X79" i="2" s="1"/>
  <c r="Q80" i="2"/>
  <c r="Q81" i="2"/>
  <c r="X81" i="2" s="1"/>
  <c r="Q82" i="2"/>
  <c r="X82" i="2" s="1"/>
  <c r="Q83" i="2"/>
  <c r="AB83" i="2" s="1"/>
  <c r="AA83" i="2" s="1"/>
  <c r="Q84" i="2"/>
  <c r="Q85" i="2"/>
  <c r="AB85" i="2" s="1"/>
  <c r="AA85" i="2" s="1"/>
  <c r="Q86" i="2"/>
  <c r="AB86" i="2" s="1"/>
  <c r="AA86" i="2" s="1"/>
  <c r="Q87" i="2"/>
  <c r="X87" i="2" s="1"/>
  <c r="Q88" i="2"/>
  <c r="Q89" i="2"/>
  <c r="X89" i="2" s="1"/>
  <c r="Q90" i="2"/>
  <c r="X90" i="2" s="1"/>
  <c r="Q91" i="2"/>
  <c r="AB91" i="2" s="1"/>
  <c r="AA91" i="2" s="1"/>
  <c r="Q92" i="2"/>
  <c r="Q93" i="2"/>
  <c r="AB93" i="2" s="1"/>
  <c r="AA93" i="2" s="1"/>
  <c r="Q94" i="2"/>
  <c r="AB94" i="2" s="1"/>
  <c r="AA94" i="2" s="1"/>
  <c r="Q95" i="2"/>
  <c r="X95" i="2" s="1"/>
  <c r="Q96" i="2"/>
  <c r="Q97" i="2"/>
  <c r="X97" i="2" s="1"/>
  <c r="Q98" i="2"/>
  <c r="AB98" i="2" s="1"/>
  <c r="AA98" i="2" s="1"/>
  <c r="Q99" i="2"/>
  <c r="AB99" i="2" s="1"/>
  <c r="AA99" i="2" s="1"/>
  <c r="Q100" i="2"/>
  <c r="Q101" i="2"/>
  <c r="AB101" i="2" s="1"/>
  <c r="AA101" i="2" s="1"/>
  <c r="Q102" i="2"/>
  <c r="X102" i="2" s="1"/>
  <c r="Q103" i="2"/>
  <c r="X103" i="2" s="1"/>
  <c r="Q104" i="2"/>
  <c r="Q105" i="2"/>
  <c r="X105" i="2" s="1"/>
  <c r="Q106" i="2"/>
  <c r="AB106" i="2" s="1"/>
  <c r="AA106" i="2" s="1"/>
  <c r="Q107" i="2"/>
  <c r="AB107" i="2" s="1"/>
  <c r="AA107" i="2" s="1"/>
  <c r="Q108" i="2"/>
  <c r="Q109" i="2"/>
  <c r="AB109" i="2" s="1"/>
  <c r="AA109" i="2" s="1"/>
  <c r="Q110" i="2"/>
  <c r="X110" i="2" s="1"/>
  <c r="Q111" i="2"/>
  <c r="X111" i="2" s="1"/>
  <c r="Q112" i="2"/>
  <c r="Q113" i="2"/>
  <c r="X113" i="2" s="1"/>
  <c r="Q114" i="2"/>
  <c r="AB114" i="2" s="1"/>
  <c r="AA114" i="2" s="1"/>
  <c r="Q115" i="2"/>
  <c r="AB115" i="2" s="1"/>
  <c r="AA115" i="2" s="1"/>
  <c r="Q116" i="2"/>
  <c r="Q117" i="2"/>
  <c r="AB117" i="2" s="1"/>
  <c r="Q118" i="2"/>
  <c r="Q119" i="2"/>
  <c r="X119" i="2" s="1"/>
  <c r="Q120" i="2"/>
  <c r="Q121" i="2"/>
  <c r="X121" i="2" s="1"/>
  <c r="Q122" i="2"/>
  <c r="Q123" i="2"/>
  <c r="AB123" i="2" s="1"/>
  <c r="AA123" i="2" s="1"/>
  <c r="Q124" i="2"/>
  <c r="Q125" i="2"/>
  <c r="AB125" i="2" s="1"/>
  <c r="Q126" i="2"/>
  <c r="Q127" i="2"/>
  <c r="X127" i="2" s="1"/>
  <c r="Z127" i="2" s="1"/>
  <c r="X39" i="2" l="1"/>
  <c r="AB39" i="2"/>
  <c r="AA39" i="2" s="1"/>
  <c r="X33" i="2"/>
  <c r="X31" i="2"/>
  <c r="Y31" i="2" s="1"/>
  <c r="AC31" i="2" s="1"/>
  <c r="X35" i="2"/>
  <c r="X19" i="2"/>
  <c r="X17" i="2"/>
  <c r="Y17" i="2" s="1"/>
  <c r="AC107" i="2"/>
  <c r="AD107" i="2" s="1"/>
  <c r="Y123" i="2"/>
  <c r="AC123" i="2" s="1"/>
  <c r="Y115" i="2"/>
  <c r="Y99" i="2"/>
  <c r="Y67" i="2"/>
  <c r="AC67" i="2" s="1"/>
  <c r="Z67" i="2"/>
  <c r="Y35" i="2"/>
  <c r="AC35" i="2" s="1"/>
  <c r="Z35" i="2"/>
  <c r="Y121" i="2"/>
  <c r="Z121" i="2"/>
  <c r="Y113" i="2"/>
  <c r="Z113" i="2"/>
  <c r="Y105" i="2"/>
  <c r="Z105" i="2"/>
  <c r="Y97" i="2"/>
  <c r="Z97" i="2"/>
  <c r="Y89" i="2"/>
  <c r="Z89" i="2"/>
  <c r="Y81" i="2"/>
  <c r="Z81" i="2"/>
  <c r="Y73" i="2"/>
  <c r="Z73" i="2"/>
  <c r="Y65" i="2"/>
  <c r="Z65" i="2"/>
  <c r="Y57" i="2"/>
  <c r="Z57" i="2"/>
  <c r="Y49" i="2"/>
  <c r="Z49" i="2"/>
  <c r="Y41" i="2"/>
  <c r="Z41" i="2"/>
  <c r="Y33" i="2"/>
  <c r="Z33" i="2"/>
  <c r="Y25" i="2"/>
  <c r="Z25" i="2"/>
  <c r="Z17" i="2"/>
  <c r="Y114" i="2"/>
  <c r="AC114" i="2" s="1"/>
  <c r="AD114" i="2" s="1"/>
  <c r="Z114" i="2"/>
  <c r="Y98" i="2"/>
  <c r="AC98" i="2" s="1"/>
  <c r="Z98" i="2"/>
  <c r="Y82" i="2"/>
  <c r="Z82" i="2"/>
  <c r="Y58" i="2"/>
  <c r="Z58" i="2"/>
  <c r="Y26" i="2"/>
  <c r="Z26" i="2"/>
  <c r="X112" i="2"/>
  <c r="AB112" i="2"/>
  <c r="AA112" i="2" s="1"/>
  <c r="X88" i="2"/>
  <c r="AB88" i="2"/>
  <c r="AA88" i="2" s="1"/>
  <c r="X56" i="2"/>
  <c r="AB56" i="2"/>
  <c r="AA56" i="2" s="1"/>
  <c r="X48" i="2"/>
  <c r="AB48" i="2"/>
  <c r="AA48" i="2" s="1"/>
  <c r="Y75" i="2"/>
  <c r="AC75" i="2" s="1"/>
  <c r="Z75" i="2"/>
  <c r="Y119" i="2"/>
  <c r="AC119" i="2" s="1"/>
  <c r="Z119" i="2"/>
  <c r="Y111" i="2"/>
  <c r="Z111" i="2"/>
  <c r="Y103" i="2"/>
  <c r="Z103" i="2"/>
  <c r="Y95" i="2"/>
  <c r="AC95" i="2" s="1"/>
  <c r="Z95" i="2"/>
  <c r="Y87" i="2"/>
  <c r="Z87" i="2"/>
  <c r="Y79" i="2"/>
  <c r="AC79" i="2" s="1"/>
  <c r="AD79" i="2" s="1"/>
  <c r="Z79" i="2"/>
  <c r="Y71" i="2"/>
  <c r="AC71" i="2" s="1"/>
  <c r="Z71" i="2"/>
  <c r="Y63" i="2"/>
  <c r="Z63" i="2"/>
  <c r="Y55" i="2"/>
  <c r="AC55" i="2" s="1"/>
  <c r="Z55" i="2"/>
  <c r="Y47" i="2"/>
  <c r="AC47" i="2" s="1"/>
  <c r="Z47" i="2"/>
  <c r="Y39" i="2"/>
  <c r="Z39" i="2"/>
  <c r="Y23" i="2"/>
  <c r="Z23" i="2"/>
  <c r="AB127" i="2"/>
  <c r="AA127" i="2" s="1"/>
  <c r="AB103" i="2"/>
  <c r="AA103" i="2" s="1"/>
  <c r="Y34" i="2"/>
  <c r="Z34" i="2"/>
  <c r="X120" i="2"/>
  <c r="AB120" i="2"/>
  <c r="AA120" i="2" s="1"/>
  <c r="X80" i="2"/>
  <c r="AB80" i="2"/>
  <c r="AA80" i="2" s="1"/>
  <c r="X40" i="2"/>
  <c r="AB40" i="2"/>
  <c r="AA40" i="2" s="1"/>
  <c r="Y43" i="2"/>
  <c r="AC43" i="2" s="1"/>
  <c r="Z43" i="2"/>
  <c r="Y102" i="2"/>
  <c r="AC102" i="2" s="1"/>
  <c r="Z102" i="2"/>
  <c r="Y122" i="2"/>
  <c r="AC122" i="2" s="1"/>
  <c r="Z122" i="2"/>
  <c r="AB87" i="2"/>
  <c r="AA87" i="2" s="1"/>
  <c r="Y83" i="2"/>
  <c r="AC83" i="2" s="1"/>
  <c r="Z83" i="2"/>
  <c r="AB55" i="2"/>
  <c r="AA55" i="2" s="1"/>
  <c r="Y51" i="2"/>
  <c r="AC51" i="2" s="1"/>
  <c r="AD51" i="2" s="1"/>
  <c r="Z51" i="2"/>
  <c r="AB23" i="2"/>
  <c r="AA23" i="2" s="1"/>
  <c r="Y19" i="2"/>
  <c r="AC19" i="2" s="1"/>
  <c r="Z19" i="2"/>
  <c r="Y74" i="2"/>
  <c r="Z74" i="2"/>
  <c r="Y50" i="2"/>
  <c r="Z50" i="2"/>
  <c r="Y18" i="2"/>
  <c r="Z18" i="2"/>
  <c r="X104" i="2"/>
  <c r="AB104" i="2"/>
  <c r="AA104" i="2" s="1"/>
  <c r="X64" i="2"/>
  <c r="AB64" i="2"/>
  <c r="AA64" i="2" s="1"/>
  <c r="X24" i="2"/>
  <c r="AB24" i="2"/>
  <c r="AA24" i="2" s="1"/>
  <c r="Y127" i="2"/>
  <c r="Y106" i="2"/>
  <c r="AC106" i="2" s="1"/>
  <c r="Z106" i="2"/>
  <c r="Y90" i="2"/>
  <c r="Z90" i="2"/>
  <c r="Y66" i="2"/>
  <c r="AC66" i="2" s="1"/>
  <c r="Z66" i="2"/>
  <c r="Y42" i="2"/>
  <c r="AC42" i="2" s="1"/>
  <c r="Z42" i="2"/>
  <c r="Y126" i="2"/>
  <c r="AC126" i="2" s="1"/>
  <c r="Z126" i="2"/>
  <c r="X96" i="2"/>
  <c r="AB96" i="2"/>
  <c r="AA96" i="2" s="1"/>
  <c r="X72" i="2"/>
  <c r="AB72" i="2"/>
  <c r="AA72" i="2" s="1"/>
  <c r="X32" i="2"/>
  <c r="AB32" i="2"/>
  <c r="AA32" i="2" s="1"/>
  <c r="Y110" i="2"/>
  <c r="AC110" i="2" s="1"/>
  <c r="Z110" i="2"/>
  <c r="AB116" i="2"/>
  <c r="AA116" i="2" s="1"/>
  <c r="X116" i="2"/>
  <c r="AB100" i="2"/>
  <c r="AA100" i="2" s="1"/>
  <c r="X100" i="2"/>
  <c r="AB84" i="2"/>
  <c r="AA84" i="2" s="1"/>
  <c r="X84" i="2"/>
  <c r="AB68" i="2"/>
  <c r="AA68" i="2" s="1"/>
  <c r="X68" i="2"/>
  <c r="AB60" i="2"/>
  <c r="AA60" i="2" s="1"/>
  <c r="X60" i="2"/>
  <c r="AB52" i="2"/>
  <c r="AA52" i="2" s="1"/>
  <c r="X52" i="2"/>
  <c r="AB36" i="2"/>
  <c r="AA36" i="2" s="1"/>
  <c r="X36" i="2"/>
  <c r="AB28" i="2"/>
  <c r="AA28" i="2" s="1"/>
  <c r="X28" i="2"/>
  <c r="AB20" i="2"/>
  <c r="AA20" i="2" s="1"/>
  <c r="X20" i="2"/>
  <c r="AC118" i="2"/>
  <c r="AC115" i="2"/>
  <c r="AC99" i="2"/>
  <c r="AB95" i="2"/>
  <c r="AA95" i="2" s="1"/>
  <c r="Y91" i="2"/>
  <c r="AC91" i="2" s="1"/>
  <c r="Z91" i="2"/>
  <c r="AB63" i="2"/>
  <c r="AA63" i="2" s="1"/>
  <c r="Y59" i="2"/>
  <c r="AC59" i="2" s="1"/>
  <c r="Z59" i="2"/>
  <c r="AB31" i="2"/>
  <c r="AA31" i="2" s="1"/>
  <c r="Y27" i="2"/>
  <c r="AC27" i="2" s="1"/>
  <c r="Z27" i="2"/>
  <c r="AB124" i="2"/>
  <c r="AA124" i="2" s="1"/>
  <c r="X124" i="2"/>
  <c r="AB108" i="2"/>
  <c r="AA108" i="2" s="1"/>
  <c r="X108" i="2"/>
  <c r="AB92" i="2"/>
  <c r="AA92" i="2" s="1"/>
  <c r="X92" i="2"/>
  <c r="AB76" i="2"/>
  <c r="AA76" i="2" s="1"/>
  <c r="X76" i="2"/>
  <c r="AB44" i="2"/>
  <c r="AA44" i="2" s="1"/>
  <c r="X44" i="2"/>
  <c r="AB111" i="2"/>
  <c r="AA111" i="2" s="1"/>
  <c r="Z118" i="2"/>
  <c r="X125" i="2"/>
  <c r="AB121" i="2"/>
  <c r="AA121" i="2" s="1"/>
  <c r="X117" i="2"/>
  <c r="AB113" i="2"/>
  <c r="AA113" i="2" s="1"/>
  <c r="X109" i="2"/>
  <c r="AB105" i="2"/>
  <c r="AA105" i="2" s="1"/>
  <c r="X101" i="2"/>
  <c r="AB97" i="2"/>
  <c r="AA97" i="2" s="1"/>
  <c r="X93" i="2"/>
  <c r="AB89" i="2"/>
  <c r="AA89" i="2" s="1"/>
  <c r="X85" i="2"/>
  <c r="AB81" i="2"/>
  <c r="AA81" i="2" s="1"/>
  <c r="X77" i="2"/>
  <c r="AB73" i="2"/>
  <c r="AA73" i="2" s="1"/>
  <c r="X69" i="2"/>
  <c r="AB65" i="2"/>
  <c r="AA65" i="2" s="1"/>
  <c r="X61" i="2"/>
  <c r="AB57" i="2"/>
  <c r="AA57" i="2" s="1"/>
  <c r="X53" i="2"/>
  <c r="AB49" i="2"/>
  <c r="AA49" i="2" s="1"/>
  <c r="X45" i="2"/>
  <c r="AB41" i="2"/>
  <c r="AA41" i="2" s="1"/>
  <c r="X37" i="2"/>
  <c r="AB33" i="2"/>
  <c r="AA33" i="2" s="1"/>
  <c r="X29" i="2"/>
  <c r="AB25" i="2"/>
  <c r="AA25" i="2" s="1"/>
  <c r="X21" i="2"/>
  <c r="AB17" i="2"/>
  <c r="AA17" i="2" s="1"/>
  <c r="X94" i="2"/>
  <c r="AB90" i="2"/>
  <c r="AA90" i="2" s="1"/>
  <c r="X86" i="2"/>
  <c r="AB82" i="2"/>
  <c r="AA82" i="2" s="1"/>
  <c r="X78" i="2"/>
  <c r="AB74" i="2"/>
  <c r="AA74" i="2" s="1"/>
  <c r="X70" i="2"/>
  <c r="AB66" i="2"/>
  <c r="AA66" i="2" s="1"/>
  <c r="X62" i="2"/>
  <c r="AB58" i="2"/>
  <c r="AA58" i="2" s="1"/>
  <c r="X54" i="2"/>
  <c r="AB50" i="2"/>
  <c r="AA50" i="2" s="1"/>
  <c r="X46" i="2"/>
  <c r="AB42" i="2"/>
  <c r="AA42" i="2" s="1"/>
  <c r="X38" i="2"/>
  <c r="AB34" i="2"/>
  <c r="AA34" i="2" s="1"/>
  <c r="X30" i="2"/>
  <c r="AB26" i="2"/>
  <c r="AA26" i="2" s="1"/>
  <c r="X22" i="2"/>
  <c r="AB18" i="2"/>
  <c r="AA18" i="2" s="1"/>
  <c r="T16" i="2"/>
  <c r="Q16" i="2"/>
  <c r="H16" i="2"/>
  <c r="I16" i="2" s="1"/>
  <c r="AC39" i="2" l="1"/>
  <c r="Z31" i="2"/>
  <c r="AC34" i="2"/>
  <c r="AC74" i="2"/>
  <c r="Y78" i="2"/>
  <c r="AC78" i="2" s="1"/>
  <c r="Z78" i="2"/>
  <c r="Y125" i="2"/>
  <c r="AC125" i="2" s="1"/>
  <c r="Z125" i="2"/>
  <c r="Z20" i="2"/>
  <c r="Y20" i="2"/>
  <c r="AC20" i="2" s="1"/>
  <c r="Z60" i="2"/>
  <c r="Y60" i="2"/>
  <c r="AC60" i="2" s="1"/>
  <c r="Y116" i="2"/>
  <c r="AC116" i="2" s="1"/>
  <c r="Z116" i="2"/>
  <c r="Y64" i="2"/>
  <c r="AC64" i="2" s="1"/>
  <c r="Z64" i="2"/>
  <c r="Y22" i="2"/>
  <c r="AC22" i="2" s="1"/>
  <c r="Z22" i="2"/>
  <c r="Y54" i="2"/>
  <c r="AC54" i="2" s="1"/>
  <c r="Z54" i="2"/>
  <c r="Y86" i="2"/>
  <c r="AC86" i="2" s="1"/>
  <c r="AD86" i="2" s="1"/>
  <c r="Z86" i="2"/>
  <c r="Y37" i="2"/>
  <c r="AC37" i="2" s="1"/>
  <c r="Z37" i="2"/>
  <c r="Y69" i="2"/>
  <c r="AC69" i="2" s="1"/>
  <c r="Z69" i="2"/>
  <c r="Y101" i="2"/>
  <c r="AC101" i="2" s="1"/>
  <c r="Z101" i="2"/>
  <c r="Y96" i="2"/>
  <c r="AC96" i="2" s="1"/>
  <c r="Z96" i="2"/>
  <c r="AC90" i="2"/>
  <c r="Y40" i="2"/>
  <c r="AC40" i="2" s="1"/>
  <c r="Z40" i="2"/>
  <c r="AC111" i="2"/>
  <c r="Y56" i="2"/>
  <c r="AC56" i="2" s="1"/>
  <c r="Z56" i="2"/>
  <c r="AC58" i="2"/>
  <c r="AD58" i="2" s="1"/>
  <c r="AC17" i="2"/>
  <c r="AC49" i="2"/>
  <c r="AC81" i="2"/>
  <c r="AC113" i="2"/>
  <c r="Y46" i="2"/>
  <c r="AC46" i="2" s="1"/>
  <c r="Z46" i="2"/>
  <c r="Y93" i="2"/>
  <c r="AC93" i="2" s="1"/>
  <c r="AD93" i="2" s="1"/>
  <c r="Z93" i="2"/>
  <c r="Z44" i="2"/>
  <c r="Y44" i="2"/>
  <c r="AC44" i="2" s="1"/>
  <c r="Y30" i="2"/>
  <c r="AC30" i="2" s="1"/>
  <c r="Z30" i="2"/>
  <c r="Y62" i="2"/>
  <c r="AC62" i="2" s="1"/>
  <c r="Z62" i="2"/>
  <c r="Y94" i="2"/>
  <c r="AC94" i="2" s="1"/>
  <c r="Z94" i="2"/>
  <c r="Y45" i="2"/>
  <c r="AC45" i="2" s="1"/>
  <c r="Z45" i="2"/>
  <c r="Y77" i="2"/>
  <c r="AC77" i="2" s="1"/>
  <c r="Z77" i="2"/>
  <c r="Y109" i="2"/>
  <c r="AC109" i="2" s="1"/>
  <c r="Z109" i="2"/>
  <c r="Y80" i="2"/>
  <c r="AC80" i="2" s="1"/>
  <c r="Z80" i="2"/>
  <c r="AC23" i="2"/>
  <c r="AC87" i="2"/>
  <c r="Y88" i="2"/>
  <c r="AC88" i="2" s="1"/>
  <c r="Z88" i="2"/>
  <c r="AC82" i="2"/>
  <c r="AC25" i="2"/>
  <c r="AC57" i="2"/>
  <c r="AC89" i="2"/>
  <c r="AC121" i="2"/>
  <c r="AD121" i="2" s="1"/>
  <c r="Z76" i="2"/>
  <c r="Y76" i="2"/>
  <c r="AC76" i="2" s="1"/>
  <c r="Z36" i="2"/>
  <c r="Y36" i="2"/>
  <c r="AC36" i="2" s="1"/>
  <c r="Z84" i="2"/>
  <c r="Y84" i="2"/>
  <c r="AC84" i="2" s="1"/>
  <c r="AC127" i="2"/>
  <c r="AC18" i="2"/>
  <c r="Y61" i="2"/>
  <c r="AC61" i="2" s="1"/>
  <c r="Z61" i="2"/>
  <c r="Z108" i="2"/>
  <c r="Y108" i="2"/>
  <c r="AC108" i="2" s="1"/>
  <c r="Z28" i="2"/>
  <c r="Y28" i="2"/>
  <c r="AC28" i="2" s="1"/>
  <c r="AC63" i="2"/>
  <c r="Y112" i="2"/>
  <c r="AC112" i="2" s="1"/>
  <c r="Z112" i="2"/>
  <c r="AC33" i="2"/>
  <c r="AC65" i="2"/>
  <c r="AD65" i="2" s="1"/>
  <c r="AC97" i="2"/>
  <c r="Y29" i="2"/>
  <c r="AC29" i="2" s="1"/>
  <c r="Z29" i="2"/>
  <c r="Y124" i="2"/>
  <c r="AC124" i="2" s="1"/>
  <c r="Z124" i="2"/>
  <c r="Z68" i="2"/>
  <c r="Y68" i="2"/>
  <c r="AC68" i="2" s="1"/>
  <c r="Y104" i="2"/>
  <c r="AC104" i="2" s="1"/>
  <c r="Z104" i="2"/>
  <c r="Y38" i="2"/>
  <c r="AC38" i="2" s="1"/>
  <c r="Z38" i="2"/>
  <c r="Y70" i="2"/>
  <c r="AC70" i="2" s="1"/>
  <c r="Z70" i="2"/>
  <c r="Y21" i="2"/>
  <c r="AC21" i="2" s="1"/>
  <c r="Z21" i="2"/>
  <c r="Y53" i="2"/>
  <c r="AC53" i="2" s="1"/>
  <c r="Z53" i="2"/>
  <c r="Y85" i="2"/>
  <c r="AC85" i="2" s="1"/>
  <c r="Z85" i="2"/>
  <c r="Y117" i="2"/>
  <c r="AC117" i="2" s="1"/>
  <c r="Z117" i="2"/>
  <c r="Y32" i="2"/>
  <c r="AC32" i="2" s="1"/>
  <c r="Z32" i="2"/>
  <c r="Z120" i="2"/>
  <c r="Y120" i="2"/>
  <c r="AC120" i="2" s="1"/>
  <c r="Z92" i="2"/>
  <c r="Y92" i="2"/>
  <c r="AC92" i="2" s="1"/>
  <c r="Z52" i="2"/>
  <c r="Y52" i="2"/>
  <c r="AC52" i="2" s="1"/>
  <c r="Y100" i="2"/>
  <c r="AC100" i="2" s="1"/>
  <c r="AD100" i="2" s="1"/>
  <c r="Z100" i="2"/>
  <c r="Y24" i="2"/>
  <c r="AC24" i="2" s="1"/>
  <c r="Z24" i="2"/>
  <c r="AC50" i="2"/>
  <c r="Y72" i="2"/>
  <c r="AC72" i="2" s="1"/>
  <c r="AD72" i="2" s="1"/>
  <c r="Z72" i="2"/>
  <c r="AC103" i="2"/>
  <c r="Y48" i="2"/>
  <c r="AC48" i="2" s="1"/>
  <c r="Z48" i="2"/>
  <c r="AC26" i="2"/>
  <c r="AC41" i="2"/>
  <c r="AC73" i="2"/>
  <c r="AC105" i="2"/>
  <c r="X16" i="2"/>
  <c r="Y16" i="2" s="1"/>
  <c r="AD44" i="2" l="1"/>
  <c r="AD37" i="2"/>
  <c r="AD30" i="2"/>
  <c r="AD23" i="2"/>
  <c r="Z16" i="2"/>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L34" i="3" l="1"/>
  <c r="J12" i="3"/>
  <c r="AF54" i="4" l="1"/>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N6" i="3" l="1"/>
  <c r="N16" i="2"/>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J38" i="3" l="1"/>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X24" i="3"/>
  <c r="X8" i="3"/>
  <c r="R32" i="3"/>
  <c r="L8" i="3"/>
  <c r="AJ40" i="3"/>
  <c r="AD32" i="3"/>
  <c r="AJ8" i="3"/>
  <c r="L16" i="3"/>
  <c r="L32" i="3"/>
  <c r="X16" i="3"/>
  <c r="AD24" i="3"/>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6" i="2" l="1"/>
  <c r="J47" i="4"/>
  <c r="AH27" i="4"/>
  <c r="J27" i="4"/>
  <c r="AB37" i="4"/>
  <c r="AB27" i="4"/>
  <c r="AB17" i="4"/>
  <c r="V47" i="4"/>
  <c r="V37" i="4"/>
  <c r="P27" i="4"/>
  <c r="P47" i="4"/>
  <c r="AH37" i="4"/>
  <c r="V27" i="4"/>
  <c r="AH7" i="4"/>
  <c r="AH17" i="4"/>
  <c r="AB47" i="4"/>
  <c r="P17" i="4"/>
  <c r="J17" i="4"/>
  <c r="J37" i="4"/>
  <c r="V17" i="4"/>
  <c r="J7" i="4"/>
  <c r="P37" i="4"/>
  <c r="P7" i="4"/>
  <c r="AH47" i="4"/>
  <c r="AB7" i="4"/>
  <c r="V7" i="4"/>
  <c r="J18" i="4"/>
  <c r="V48" i="4"/>
  <c r="J8" i="4"/>
  <c r="P18" i="4"/>
  <c r="V18" i="4"/>
  <c r="V28" i="4"/>
  <c r="P48" i="4"/>
  <c r="AH18" i="4"/>
  <c r="AB8" i="4"/>
  <c r="AB18" i="4"/>
  <c r="V8" i="4"/>
  <c r="AH38" i="4"/>
  <c r="P8" i="4"/>
  <c r="AB38" i="4"/>
  <c r="J38" i="4"/>
  <c r="AH28" i="4"/>
  <c r="AB28" i="4"/>
  <c r="AB48" i="4"/>
  <c r="AH8" i="4"/>
  <c r="J48" i="4"/>
  <c r="V38" i="4"/>
  <c r="P38" i="4"/>
  <c r="J28" i="4"/>
  <c r="AH48" i="4"/>
  <c r="P28" i="4"/>
  <c r="T27" i="4"/>
  <c r="AF7" i="4"/>
  <c r="T37" i="4"/>
  <c r="Z27" i="4"/>
  <c r="N7" i="4"/>
  <c r="Z7" i="4"/>
  <c r="AF37" i="4"/>
  <c r="AL27" i="4"/>
  <c r="N37" i="4"/>
  <c r="N17" i="4"/>
  <c r="AF27" i="4"/>
  <c r="Z47" i="4"/>
  <c r="AL17" i="4"/>
  <c r="AL7" i="4"/>
  <c r="Z17" i="4"/>
  <c r="AF47" i="4"/>
  <c r="N27" i="4"/>
  <c r="AL47" i="4"/>
  <c r="T47" i="4"/>
  <c r="Z37" i="4"/>
  <c r="AL37" i="4"/>
  <c r="N47" i="4"/>
  <c r="T17" i="4"/>
  <c r="AF17" i="4"/>
  <c r="T7" i="4"/>
  <c r="AM17" i="4"/>
  <c r="O7" i="4"/>
  <c r="AG7" i="4"/>
  <c r="AG17" i="4"/>
  <c r="AA47" i="4"/>
  <c r="AA7" i="4"/>
  <c r="AA27" i="4"/>
  <c r="AG27" i="4"/>
  <c r="AM7" i="4"/>
  <c r="U27" i="4"/>
  <c r="AG47" i="4"/>
  <c r="U7" i="4"/>
  <c r="O47" i="4"/>
  <c r="U17" i="4"/>
  <c r="AG37" i="4"/>
  <c r="U47" i="4"/>
  <c r="O37" i="4"/>
  <c r="AM47" i="4"/>
  <c r="O27" i="4"/>
  <c r="AA37" i="4"/>
  <c r="AM37" i="4"/>
  <c r="O17" i="4"/>
  <c r="AM27" i="4"/>
  <c r="U37" i="4"/>
  <c r="AA17" i="4"/>
  <c r="Q46" i="4" l="1"/>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<sst xmlns="http://schemas.openxmlformats.org/spreadsheetml/2006/main" count="509" uniqueCount="281">
  <si>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</si>
  <si>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</si>
  <si>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</si>
  <si>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</si>
  <si>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</si>
  <si>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</si>
  <si>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</si>
  <si>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</si>
  <si>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</si>
  <si>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</si>
  <si>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</si>
  <si>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</si>
  <si>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</si>
  <si>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</si>
  <si>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</si>
  <si>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</si>
  <si>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</si>
  <si>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</si>
  <si>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</si>
  <si>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</si>
  <si>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</si>
  <si>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</si>
  <si>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</si>
  <si>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</si>
  <si>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</si>
  <si>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</si>
  <si>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</si>
  <si>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</si>
  <si>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</si>
  <si>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</si>
  <si>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</si>
  <si>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</si>
  <si>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</si>
  <si>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</si>
  <si>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</si>
  <si>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</si>
  <si>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</si>
  <si>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</si>
  <si>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</si>
  <si>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</si>
  <si>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</si>
  <si>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</si>
  <si>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</si>
  <si>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</si>
  <si>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</si>
  <si>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</si>
  <si>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</si>
  <si>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</si>
  <si>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</si>
  <si>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</si>
  <si>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</si>
  <si>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</si>
  <si>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</si>
  <si>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</si>
  <si>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</si>
  <si>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</si>
  <si>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</si>
  <si>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</si>
  <si>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</si>
  <si>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</si>
  <si>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</si>
  <si>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</si>
  <si>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</si>
  <si>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</si>
  <si>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</si>
  <si>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</si>
  <si>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</si>
  <si>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</si>
  <si>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</si>
  <si>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</si>
  <si>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</si>
  <si>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</si>
  <si>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</si>
  <si>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</si>
  <si>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</si>
  <si>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</si>
  <si>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</si>
  <si>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</si>
  <si>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</si>
  <si>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</si>
  <si>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</si>
  <si>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</si>
  <si>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</si>
  <si>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</si>
  <si>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</si>
  <si>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</si>
  <si>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</si>
  <si>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</si>
  <si>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</si>
  <si>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</si>
  <si>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</si>
  <si>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</si>
  <si>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</si>
  <si>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</si>
  <si>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</si>
  <si>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</si>
  <si>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</si>
  <si>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</si>
  <si>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</si>
  <si>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</si>
  <si>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</si>
  <si>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</si>
  <si>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</si>
  <si>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</si>
  <si>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</si>
  <si>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</si>
  <si>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</si>
  <si>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</si>
  <si>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</si>
  <si>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</si>
  <si>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</si>
  <si>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</si>
  <si>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</si>
  <si>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</si>
  <si>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</si>
  <si>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</si>
  <si>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</si>
  <si>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</si>
  <si>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</si>
  <si>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</si>
  <si>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</si>
  <si>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</si>
  <si>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</si>
  <si>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</si>
  <si>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</si>
  <si>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</si>
  <si>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</si>
  <si>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</si>
  <si>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</si>
  <si>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</si>
  <si>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</si>
  <si>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</si>
  <si>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</si>
  <si>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</si>
  <si>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</si>
  <si>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</si>
  <si>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</si>
  <si>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</si>
  <si>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</si>
  <si>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</si>
  <si>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</si>
  <si>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</si>
  <si>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</si>
  <si>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</si>
  <si>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</si>
  <si>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</si>
  <si>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</si>
  <si>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</si>
  <si>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</si>
  <si>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</si>
  <si>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</si>
  <si>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</si>
  <si>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</si>
  <si>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</si>
  <si>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</si>
  <si>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</si>
  <si>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</si>
  <si>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</si>
  <si>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</si>
  <si>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</si>
  <si>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</si>
  <si>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</si>
  <si>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</si>
  <si>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</si>
  <si>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</si>
  <si>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</si>
  <si>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</si>
  <si>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</si>
  <si>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</si>
  <si>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</si>
  <si>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</si>
  <si>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</si>
  <si>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</si>
  <si>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</si>
  <si>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</si>
  <si>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</si>
  <si>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</si>
  <si>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</si>
  <si>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</si>
  <si>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</si>
  <si>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</si>
  <si>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</si>
  <si>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</si>
  <si>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</si>
  <si>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</si>
  <si>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</si>
  <si>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</si>
  <si>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</si>
  <si>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</si>
  <si>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</si>
  <si>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</si>
  <si>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</si>
  <si>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</si>
  <si>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</si>
  <si>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</si>
  <si>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</si>
  <si>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</si>
  <si>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</si>
  <si>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</si>
  <si>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</si>
  <si>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</si>
  <si>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</si>
  <si>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</si>
  <si>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</si>
  <si>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</si>
  <si>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</si>
  <si>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</si>
  <si>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</si>
  <si>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</si>
  <si>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</si>
  <si>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</si>
  <si>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</si>
  <si>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</si>
  <si>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</si>
  <si>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</si>
  <si>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</si>
  <si>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</si>
  <si>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</si>
  <si>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</si>
  <si>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</si>
  <si>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</si>
  <si>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</si>
  <si>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</si>
  <si>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</si>
  <si>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</si>
  <si>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</si>
  <si>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</si>
  <si>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</si>
  <si>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</si>
  <si>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</si>
  <si>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</si>
  <si>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</si>
  <si>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</si>
  <si>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</si>
  <si>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</si>
  <si>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</si>
  <si>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</si>
  <si>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</si>
  <si>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</si>
  <si>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</si>
  <si>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</si>
  <si>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</si>
  <si>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Contratación</t>
  </si>
  <si>
    <t>Gestionar los procesos de Contratación Pública de manera oportuna atreves de lineamientos de Colombia compra eficiente  para satisfacer las necesidades de grupo de valor</t>
  </si>
  <si>
    <t xml:space="preserve">Inicia con la planeación del plan anual de adquisiciones y termina con la entrega del acta de liquidación para el archivo en el expediente contractual.
Aplica para: licitaciones públicas, concurso de mérito, selección abreviada, mínima cuantía y contratación directa. </t>
  </si>
  <si>
    <t xml:space="preserve"> Investigaciones multa y sanción del ente regulador al finalizar el proceso contractual</t>
  </si>
  <si>
    <t>Recepción y revisión de los estudios previos sin cumplimiento de los requisitos legales.</t>
  </si>
  <si>
    <t>Posibilidad de afectación económica y reputacional  por  investigaciones, multa y sanción del ente regulador al finalizar el proceso contractual debido a la recepción de los estudios previos sin cumplimiento de los requisitos legales.</t>
  </si>
  <si>
    <t>investigaciones,  multas sanciones disciplinarias y demandas</t>
  </si>
  <si>
    <t>Bienes y servicios contratados. Incumplimiento en la legalización de los contratos</t>
  </si>
  <si>
    <t>Errónea adjudicación</t>
  </si>
  <si>
    <t xml:space="preserve">Fallas durante el proceso precontractual. </t>
  </si>
  <si>
    <t xml:space="preserve">Riesgos fondo pensiones Posibilidad de afectación económica y reputacional por errónea adjudicación debido a fallas durante el proceso precontractual. </t>
  </si>
  <si>
    <t>Investigaciones, sanciones disciplinarias y demandas.</t>
  </si>
  <si>
    <t xml:space="preserve">Inadecuado manejo de archivos de contratos sin la totalidad de los documentos requeridos  asociados a las etapas contractuales. </t>
  </si>
  <si>
    <t>Posibilidad de afectación reputacional  por investigaciones disciplinarias del ente regulador debido al inadecuado manejo de archivos de contratos sin la totalidad de los documentos requeridos  asociados a las etapas contractuales. (Falta de alimentacion de los documentos para los contratos)</t>
  </si>
  <si>
    <t xml:space="preserve"> Pérdida de la información por el acceso no autorizado al sistema de información, la revelación de contraseñas a información disponible para personas no autorizadas y la falta de desactivación de cuentas de usuarios luego de finalizado el empleo.</t>
  </si>
  <si>
    <t>Posibilidad de afectación económica y reputacional  por  investigaciones multa y sanción del ente regulador debido a la pérdida de la información por el acceso no autorizado al sistema de información, la revelación de contraseñas a información disponible para personas no autorizadas y la falta de desactivación de cuentas de usuarios luego de finalizado el empleo.</t>
  </si>
  <si>
    <t xml:space="preserve"> </t>
  </si>
  <si>
    <t>El profesional de contratación del DACP cuando recibe los docuemntos mensualmente verifica que la información jurídica suministrada por las dependencias  que corresponda con los requisitos establecidos acorde con el tipo de contratación, a través de un formato de chequeo, el profesional notifica a traves de un medio idoneo, sea por correo electrocnico idoneo, plataforma contratación o notas internas  las observaciones encontradas (desviacion)</t>
  </si>
  <si>
    <t>El director(a) del DACP verifica la informacion suministrda y revisada por el profesional de apoyo DACP correspondiente al mes en curso, y  aprueba los documentos de la etapa precontractual y firma del contrato para el caso de la contratación directa y aprobacion de los documentos pre contractuales y hasta antes de la etapa de evaluación para procesos de convocatoria publica. El profesional de contratación del DACP publica en la plataforma SECOP 2 lo pertinente de acuerdo a la modalidad de selección. mediante las minutas contractuales</t>
  </si>
  <si>
    <t>El director(a) del DACP Para procesos de convocaría publica,  convoca al grupo evaluador o comité Asesor evaluador cuando sea necesario mediante citación previa según correponda la modalidad, para la socializacion y la revisión de los requisitos jurídicos, técnicos, financieros y de esperiencia. por medio de actas de comite</t>
  </si>
  <si>
    <t>En caso de requerirse, previa revision y viabiidad, el profesional de contratación del DACP proyecta la adenda para procesos de convocatoria publica en su etapa precontractual y para los contratos en la modalidad directa revisa las modificación solicitadas por las dependencias, las cuales se firman por director(a) y son   Publicadas en la platafora SECOP 2, por medio de listas de chequeo, contratos firmados y requicitos juridicos</t>
  </si>
  <si>
    <t xml:space="preserve">El director(a) del DACP con el apoyo del profesional encargado socializan el Manual de Contratación dos veces al año, a todas las dependencias y se publica el manual en la intranet de la alcaldia para cumplimiento posterior a la publicación. por medio del Manual de contratacion, listados de asistencias y evidencias de capacitacion </t>
  </si>
  <si>
    <t>Los profesionales de apoyo del DACP mensualmente verifican la información de la contratación registrada en plataforma contratacion versus la documentación efectivamente radicada a través de un formato de chequeo para legalización. Por medio de listas de chequeo, y el instrumento de legalizacion</t>
  </si>
  <si>
    <t>El director(a) del DACP  con el apoyo del profesional cuatrimestralmente encargado emiten circulares, comunicados u oficios enviados por los mecanismos idoneos para requerir el cumplimiento de la radicación para la legalización dentro del términos establecidos. circular u oficio, soporte de correo enviado</t>
  </si>
  <si>
    <t>El director(a) del DACP con el apoyo del profesional encargado elaboran cronograma cuatrimestralmente para la radicacion de expedientes al DACP, enviados por los mecanismos idoneos para requerir el cumplimiento de la radicación para la legalización dentro del términos establecidos. oficio, soporte del envio por correo, instrumento de legalizacion</t>
  </si>
  <si>
    <t>El profesional de apoyo del DACP verifica que  la información  enviada mensualmente por los profesionales de apoyo encargados del cargue de la información previa,  se encuentre acorde y completa para reporte a la plataforma SIA OBSERVA y que la misma se rinda efectivamente. mediante listados de chequeo, instrumento de rendicion sia, seguimineto e informe rendicion SIA</t>
  </si>
  <si>
    <t>El director(a) del DACP con el apoyo del profesional encargado, realizaran cronograma de entrega de expedientes para el cargue mensual de la informacion en la plataforma del SIA OBSERVA y que la misma se rinda efectivamente. Lista de chequeo, instrumento de legalizacion seguimineto e informe rendicion SIA</t>
  </si>
  <si>
    <t>Los profesionales del DACP revisan mensualmente la viabilidad de la iniciacion del contrato  dentro del mes que se reporta o en el mes siguiente. Mediante lista de quequeo y instrumento de legalizacion</t>
  </si>
  <si>
    <t>El director(a) del DACP con el apoyo del profesional encargado, (en caso materializarse un reporte inoportuno) informara a la oficina del despcho del alcalde sobre la situacion y posterior solicitud de la apertura de la plataforma para su respectivo reporte. mediante oficio de solicitus, soporte de rendicion</t>
  </si>
  <si>
    <t xml:space="preserve">El comité asesor evaluador cuando sea necesario aprueba respuestas a observaciones, informes de evaluación, aclaraciones y requerimientos de los diferentes proponentes para ser publicados en la plataforma SECOP 2. mediente acta de comité, instrumento de cargue de la plataforma SECOP 2
</t>
  </si>
  <si>
    <t>El director(a) del DACP cuando sea necesario invita a veedurías ciudadanas a que participen en los diferentes procesos contractuales. Mediante contratos firmados de diferentes procesos contractuales</t>
  </si>
  <si>
    <t xml:space="preserve">El profesiónal encargado del DACP cuando sea necesario recepcióna las observaciones de los proponentes remitidas a traves de la plataforma SECOP 2 y remite por competencia al comité asesor evaluador para su revisión y respuesta, que sera publicada en la plataforma, mediante actas de comite y el instrumento de publicacion en plataforma </t>
  </si>
  <si>
    <t xml:space="preserve">El profesional de contratación del DACP proyecta adenda en caso de requerirse en procesos de convocatoria en la etapa precontractual, y remite por competencia al comité asesor evaluador para su revisión, respuesta, y aprobacion para la publicación en SECOP II de adendas u oficios de respuesta según normatividad vigente. mediante adendas, notas internas, actas de comite, soporte de publicación en SECOP II </t>
  </si>
  <si>
    <t>El director(a) del DACP en caso de requerirse mediante acto administrativo motivado revoca , mediante dec_0072_21_ene_2020 acto de adjudicación, previo analisis de la procedencia, para posterior publicación en la plataforma SECOP 2 mediante dec_0072_21_ene_2020, notas internas, requisitos jurídicos técnicos financieros y de esperiencia</t>
  </si>
  <si>
    <t>El director(a) del DACP emite trimestralmente circulares y/o comunicados, reiterativas para el envió de la documentación en los tiempos establecidos. Mediante circular, soporte envio por correo</t>
  </si>
  <si>
    <t>El profesional de archivo del DACP envía cuatrimestralmente oficios a las dependencias requiriendo la información para completar el expediente contractual  (con el fin de dar cumplimiento al diligenciamiento del fuit), mediante oficio y/o circular, soporte de envio, lista de quequeo de expediente</t>
  </si>
  <si>
    <t xml:space="preserve">El director(a) del DACP con el apoyo del profesional encargado en caso de requerirse se realizara se solicita la información faltante cuando lo requiera por medio de oficios con copia a control interno.mediante listado de chequeo y soporte de envio </t>
  </si>
  <si>
    <t>El director(a) del DACP en conjunto con el profesional de apoyo cutrimestralmente hace seguimiento  y des habilitación de usuarios y contraseñas de las plataformas asignadas a los profesionales de apoyo que han terminado la vinculacion contractual o a personas que no hacen parte del DACP  para evitar el accesos a las plataformas. mediante solicitud de activacion o des habilitacion de usurios en plataaformas</t>
  </si>
  <si>
    <t xml:space="preserve">El director(a) del DACP delega a un responble de asignación de contraseñas por plataforma.(secop ii, sia observa, sigep, spi, otros), al ingreso  de los profesionales de apoyo, las contraseñas son entregadas entregadas mediante oficio o el mecanismo idoneo para ello, mediante formato de entrega de usurio y contraseña, contrato firmado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</si>
</sst>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7"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0"/>
      <color theme="1"/>
      <name val="Century Gothic"/>
      <family val="2"/>
    </font>
    <font>
      <sz val="14"/>
      <color theme="1"/>
      <name val="Calibri"/>
      <family val="2"/>
      <scheme val="minor"/>
    </font>
    <font>
      <sz val="11"/>
      <name val="Calibri"/>
      <family val="2"/>
      <scheme val="minor"/>
    </font>
  </fonts>
  <fills count="18">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
      <patternFill patternType="solid">
        <fgColor theme="0"/>
        <bgColor indexed="64"/>
      </patternFill>
    </fill>
  </fills>
  <borders count="12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style="dotted">
        <color rgb="FFE36C09"/>
      </right>
      <top style="dotted">
        <color rgb="FFE36C09"/>
      </top>
      <bottom style="dotted">
        <color rgb="FFE36C09"/>
      </bottom>
      <diagonal/>
    </border>
    <border>
      <left style="thin">
        <color indexed="64"/>
      </left>
      <right style="thin">
        <color indexed="64"/>
      </right>
      <top/>
      <bottom style="dotted">
        <color rgb="FFE36C09"/>
      </bottom>
      <diagonal/>
    </border>
    <border>
      <left style="dashed">
        <color theme="9" tint="-0.24994659260841701"/>
      </left>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s>
  <cellStyleXfs count="1">
    <xf numFmtId="0" fontId="0" fillId="0" borderId="0"/>
  </cellStyleXfs>
  <cellXfs count="332">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4" fillId="0" borderId="123" xfId="0" applyFont="1" applyBorder="1" applyAlignment="1" applyProtection="1">
      <alignment horizontal="left" vertical="center" wrapText="1"/>
      <protection locked="0"/>
    </xf>
    <xf numFmtId="0" fontId="51" fillId="0" borderId="123" xfId="0" applyFont="1" applyBorder="1" applyAlignment="1" applyProtection="1">
      <alignment horizontal="center" vertical="center" textRotation="90"/>
      <protection locked="0"/>
    </xf>
    <xf numFmtId="0" fontId="64" fillId="0" borderId="123" xfId="0" applyFont="1" applyBorder="1" applyAlignment="1" applyProtection="1">
      <alignment vertical="center" wrapText="1"/>
      <protection locked="0"/>
    </xf>
    <xf numFmtId="0" fontId="66" fillId="0" borderId="103" xfId="0" applyFont="1" applyBorder="1" applyAlignment="1" applyProtection="1">
      <alignment vertical="center" wrapText="1"/>
      <protection locked="0"/>
    </xf>
    <xf numFmtId="0" fontId="66" fillId="0" borderId="103" xfId="0" applyFont="1" applyBorder="1" applyAlignment="1" applyProtection="1">
      <alignment horizontal="left" vertical="center" wrapText="1"/>
      <protection locked="0"/>
    </xf>
    <xf numFmtId="0" fontId="51" fillId="0" borderId="120" xfId="0" applyFont="1" applyBorder="1" applyAlignment="1" applyProtection="1">
      <alignment horizontal="center" vertical="center" textRotation="90"/>
      <protection locked="0"/>
    </xf>
    <xf numFmtId="0" fontId="51" fillId="0" borderId="122" xfId="0" applyFont="1" applyBorder="1" applyAlignment="1" applyProtection="1">
      <alignment horizontal="center" vertical="center" textRotation="90"/>
      <protection locked="0"/>
    </xf>
    <xf numFmtId="0" fontId="51" fillId="0" borderId="121" xfId="0" applyFont="1" applyBorder="1" applyAlignment="1" applyProtection="1">
      <alignment horizontal="center" vertical="center" textRotation="90"/>
      <protection locked="0"/>
    </xf>
    <xf numFmtId="0" fontId="63" fillId="0" borderId="120" xfId="0" applyFont="1" applyBorder="1" applyAlignment="1">
      <alignment horizontal="center" vertical="center" textRotation="90"/>
    </xf>
    <xf numFmtId="0" fontId="63" fillId="0" borderId="122" xfId="0" applyFont="1" applyBorder="1" applyAlignment="1">
      <alignment horizontal="center" vertical="center" textRotation="90"/>
    </xf>
    <xf numFmtId="0" fontId="63" fillId="0" borderId="124" xfId="0" applyFont="1" applyBorder="1" applyAlignment="1">
      <alignment horizontal="center" vertical="center" textRotation="90"/>
    </xf>
    <xf numFmtId="0" fontId="51" fillId="0" borderId="120" xfId="0" applyFont="1" applyBorder="1" applyAlignment="1" applyProtection="1">
      <alignment horizontal="center" vertical="center" wrapText="1"/>
      <protection locked="0"/>
    </xf>
    <xf numFmtId="0" fontId="51" fillId="0" borderId="122" xfId="0" applyFont="1" applyBorder="1" applyAlignment="1" applyProtection="1">
      <alignment horizontal="center" vertical="center" wrapText="1"/>
      <protection locked="0"/>
    </xf>
    <xf numFmtId="0" fontId="51" fillId="0" borderId="121" xfId="0" applyFont="1" applyBorder="1" applyAlignment="1" applyProtection="1">
      <alignment horizontal="center" vertical="center" wrapText="1"/>
      <protection locked="0"/>
    </xf>
    <xf numFmtId="0" fontId="51" fillId="0" borderId="120" xfId="0" applyFont="1" applyBorder="1" applyAlignment="1" applyProtection="1">
      <alignment horizontal="center" vertical="center"/>
      <protection locked="0"/>
    </xf>
    <xf numFmtId="0" fontId="51" fillId="0" borderId="122" xfId="0" applyFont="1" applyBorder="1" applyAlignment="1" applyProtection="1">
      <alignment horizontal="center" vertical="center"/>
      <protection locked="0"/>
    </xf>
    <xf numFmtId="0" fontId="51" fillId="0" borderId="121" xfId="0" applyFont="1" applyBorder="1" applyAlignment="1" applyProtection="1">
      <alignment horizontal="center" vertical="center"/>
      <protection locked="0"/>
    </xf>
    <xf numFmtId="0" fontId="50" fillId="0" borderId="120" xfId="0" applyFont="1" applyBorder="1" applyAlignment="1">
      <alignment horizontal="center" vertical="center" wrapText="1"/>
    </xf>
    <xf numFmtId="0" fontId="50" fillId="0" borderId="122" xfId="0" applyFont="1" applyBorder="1" applyAlignment="1">
      <alignment horizontal="center" vertical="center" wrapText="1"/>
    </xf>
    <xf numFmtId="0" fontId="50" fillId="0" borderId="121" xfId="0" applyFont="1" applyBorder="1" applyAlignment="1">
      <alignment horizontal="center" vertical="center" wrapText="1"/>
    </xf>
    <xf numFmtId="9" fontId="51" fillId="0" borderId="120" xfId="0" applyNumberFormat="1" applyFont="1" applyBorder="1" applyAlignment="1">
      <alignment horizontal="center" vertical="center" wrapText="1"/>
    </xf>
    <xf numFmtId="9" fontId="51" fillId="0" borderId="122" xfId="0" applyNumberFormat="1" applyFont="1" applyBorder="1" applyAlignment="1">
      <alignment horizontal="center" vertical="center" wrapText="1"/>
    </xf>
    <xf numFmtId="9" fontId="51" fillId="0" borderId="121" xfId="0" applyNumberFormat="1" applyFont="1" applyBorder="1" applyAlignment="1">
      <alignment horizontal="center" vertical="center" wrapText="1"/>
    </xf>
    <xf numFmtId="9" fontId="51" fillId="0" borderId="120" xfId="0" applyNumberFormat="1" applyFont="1" applyBorder="1" applyAlignment="1" applyProtection="1">
      <alignment horizontal="center" vertical="center" wrapText="1"/>
      <protection locked="0"/>
    </xf>
    <xf numFmtId="9" fontId="51" fillId="0" borderId="122" xfId="0" applyNumberFormat="1" applyFont="1" applyBorder="1" applyAlignment="1" applyProtection="1">
      <alignment horizontal="center" vertical="center" wrapText="1"/>
      <protection locked="0"/>
    </xf>
    <xf numFmtId="9" fontId="51" fillId="0" borderId="121" xfId="0" applyNumberFormat="1" applyFont="1" applyBorder="1" applyAlignment="1" applyProtection="1">
      <alignment horizontal="center" vertical="center" wrapText="1"/>
      <protection locked="0"/>
    </xf>
    <xf numFmtId="0" fontId="50" fillId="0" borderId="120" xfId="0" applyFont="1" applyBorder="1" applyAlignment="1">
      <alignment horizontal="center" vertical="center"/>
    </xf>
    <xf numFmtId="0" fontId="50" fillId="0" borderId="122" xfId="0" applyFont="1" applyBorder="1" applyAlignment="1">
      <alignment horizontal="center" vertical="center"/>
    </xf>
    <xf numFmtId="0" fontId="50" fillId="0" borderId="121" xfId="0" applyFont="1" applyBorder="1" applyAlignment="1">
      <alignment horizontal="center" vertical="center"/>
    </xf>
    <xf numFmtId="0" fontId="63" fillId="0" borderId="52" xfId="0" applyFont="1" applyBorder="1" applyAlignment="1">
      <alignment horizontal="center" vertical="center" textRotation="90" wrapText="1"/>
    </xf>
    <xf numFmtId="0" fontId="50" fillId="4" borderId="120" xfId="0" applyFont="1" applyFill="1" applyBorder="1" applyAlignment="1">
      <alignment horizontal="center" vertical="center" textRotation="90" wrapText="1"/>
    </xf>
    <xf numFmtId="0" fontId="50" fillId="4" borderId="121" xfId="0" applyFont="1" applyFill="1" applyBorder="1" applyAlignment="1">
      <alignment horizontal="center" vertical="center" textRotation="90" wrapText="1"/>
    </xf>
    <xf numFmtId="0" fontId="50" fillId="4" borderId="103" xfId="0" applyFont="1" applyFill="1" applyBorder="1" applyAlignment="1">
      <alignment horizontal="center" vertical="center"/>
    </xf>
    <xf numFmtId="0" fontId="52" fillId="0" borderId="103" xfId="0" applyFont="1" applyBorder="1" applyAlignment="1">
      <alignment horizontal="center" vertical="center"/>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wrapText="1"/>
    </xf>
    <xf numFmtId="0" fontId="65" fillId="17" borderId="125" xfId="0" applyFont="1" applyFill="1" applyBorder="1" applyAlignment="1" applyProtection="1">
      <alignment horizontal="left" vertical="center" wrapText="1"/>
      <protection locked="0"/>
    </xf>
    <xf numFmtId="0" fontId="65" fillId="17" borderId="126" xfId="0" applyFont="1" applyFill="1" applyBorder="1" applyAlignment="1" applyProtection="1">
      <alignment horizontal="left" vertical="center" wrapText="1"/>
      <protection locked="0"/>
    </xf>
    <xf numFmtId="0" fontId="65" fillId="17" borderId="127" xfId="0" applyFont="1" applyFill="1" applyBorder="1" applyAlignment="1" applyProtection="1">
      <alignment horizontal="left" vertical="center" wrapText="1"/>
      <protection locked="0"/>
    </xf>
    <xf numFmtId="0" fontId="51" fillId="0" borderId="103" xfId="0" applyFont="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5" fillId="17" borderId="125" xfId="0" applyFont="1" applyFill="1" applyBorder="1" applyAlignment="1" applyProtection="1">
      <alignment horizontal="left" vertical="center"/>
      <protection locked="0"/>
    </xf>
    <xf numFmtId="0" fontId="65" fillId="17" borderId="126" xfId="0" applyFont="1" applyFill="1" applyBorder="1" applyAlignment="1" applyProtection="1">
      <alignment horizontal="left" vertical="center"/>
      <protection locked="0"/>
    </xf>
    <xf numFmtId="0" fontId="65" fillId="17" borderId="127" xfId="0" applyFont="1" applyFill="1" applyBorder="1" applyAlignment="1" applyProtection="1">
      <alignment horizontal="left" vertical="center"/>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6" fillId="9" borderId="45" xfId="0" applyFont="1" applyFill="1" applyBorder="1" applyAlignment="1">
      <alignment horizontal="center" wrapText="1" readingOrder="1"/>
    </xf>
    <xf numFmtId="0" fontId="3" fillId="0" borderId="53" xfId="0" applyFont="1" applyBorder="1"/>
    <xf numFmtId="0" fontId="3" fillId="0" borderId="50" xfId="0" applyFont="1" applyBorder="1"/>
    <xf numFmtId="0" fontId="3" fillId="0" borderId="63" xfId="0" applyFont="1" applyBorder="1"/>
    <xf numFmtId="0" fontId="16" fillId="9" borderId="58" xfId="0" applyFont="1" applyFill="1" applyBorder="1" applyAlignment="1">
      <alignment horizontal="center" wrapText="1" readingOrder="1"/>
    </xf>
    <xf numFmtId="0" fontId="3" fillId="0" borderId="57" xfId="0" applyFont="1" applyBorder="1"/>
    <xf numFmtId="0" fontId="3" fillId="0" borderId="52" xfId="0" applyFont="1" applyBorder="1"/>
    <xf numFmtId="0" fontId="3" fillId="0" borderId="56" xfId="0" applyFont="1" applyBorder="1"/>
    <xf numFmtId="0" fontId="16" fillId="7" borderId="54" xfId="0" applyFont="1" applyFill="1" applyBorder="1" applyAlignment="1">
      <alignment horizontal="center" vertical="center" wrapText="1" readingOrder="1"/>
    </xf>
    <xf numFmtId="0" fontId="3" fillId="0" borderId="62" xfId="0" applyFont="1" applyBorder="1"/>
    <xf numFmtId="0" fontId="16" fillId="7" borderId="58"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3" fillId="0" borderId="47" xfId="0" applyFont="1" applyBorder="1"/>
    <xf numFmtId="0" fontId="16" fillId="9" borderId="66" xfId="0" applyFont="1" applyFill="1" applyBorder="1" applyAlignment="1">
      <alignment horizontal="center" wrapText="1" readingOrder="1"/>
    </xf>
    <xf numFmtId="0" fontId="16" fillId="7" borderId="66" xfId="0" applyFont="1" applyFill="1" applyBorder="1" applyAlignment="1">
      <alignment horizontal="center" vertical="center" wrapText="1" readingOrder="1"/>
    </xf>
    <xf numFmtId="0" fontId="16" fillId="7" borderId="45" xfId="0" applyFont="1" applyFill="1" applyBorder="1" applyAlignment="1">
      <alignment horizontal="center" vertical="center" wrapText="1" readingOrder="1"/>
    </xf>
    <xf numFmtId="0" fontId="16" fillId="8" borderId="66" xfId="0" applyFont="1" applyFill="1" applyBorder="1" applyAlignment="1">
      <alignment horizontal="center" wrapText="1" readingOrder="1"/>
    </xf>
    <xf numFmtId="0" fontId="16" fillId="8" borderId="45" xfId="0" applyFont="1" applyFill="1" applyBorder="1" applyAlignment="1">
      <alignment horizontal="center" wrapText="1" readingOrder="1"/>
    </xf>
    <xf numFmtId="0" fontId="16" fillId="9" borderId="54" xfId="0" applyFont="1" applyFill="1" applyBorder="1" applyAlignment="1">
      <alignment horizont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7" xfId="0" applyFont="1" applyBorder="1"/>
    <xf numFmtId="0" fontId="3" fillId="0" borderId="68" xfId="0" applyFont="1" applyBorder="1"/>
    <xf numFmtId="0" fontId="3" fillId="0" borderId="70" xfId="0" applyFont="1" applyBorder="1"/>
    <xf numFmtId="0" fontId="3" fillId="0" borderId="71" xfId="0" applyFont="1" applyBorder="1"/>
    <xf numFmtId="0" fontId="3" fillId="0" borderId="69" xfId="0" applyFont="1" applyBorder="1"/>
    <xf numFmtId="0" fontId="16" fillId="8"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16" fillId="10" borderId="58" xfId="0" applyFont="1" applyFill="1" applyBorder="1" applyAlignment="1">
      <alignment horizontal="center" wrapText="1" readingOrder="1"/>
    </xf>
    <xf numFmtId="0" fontId="16" fillId="10" borderId="54" xfId="0" applyFont="1" applyFill="1" applyBorder="1" applyAlignment="1">
      <alignment horizontal="center" wrapText="1" readingOrder="1"/>
    </xf>
    <xf numFmtId="0" fontId="17" fillId="8"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10" borderId="59" xfId="0" applyFont="1" applyFill="1" applyBorder="1" applyAlignment="1">
      <alignment horizontal="center" vertical="center" wrapText="1" readingOrder="1"/>
    </xf>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8" fillId="0" borderId="0" xfId="0" applyFont="1" applyAlignment="1">
      <alignment horizontal="center" vertical="center" wrapText="1"/>
    </xf>
    <xf numFmtId="0" fontId="19" fillId="0" borderId="54" xfId="0" applyFont="1" applyBorder="1" applyAlignment="1">
      <alignment horizontal="center" vertical="center" wrapText="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cellXfs>
  <cellStyles count="1">
    <cellStyle name="Normal" xfId="0" builtinId="0"/>
  </cellStyles>
  <dxfs count="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35"/>
      <tableStyleElement type="firstRowStripe" dxfId="34"/>
      <tableStyleElement type="secondRowStripe" dxfId="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130"/>
  <sheetViews>
    <sheetView showGridLines="0" tabSelected="1" topLeftCell="A40" zoomScale="70" zoomScaleNormal="70" workbookViewId="0">
      <selection activeCell="P51" sqref="P51"/>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69"/>
      <c r="B1" s="170"/>
      <c r="C1" s="170"/>
      <c r="D1" s="171"/>
      <c r="E1" s="178" t="s">
        <v>224</v>
      </c>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9"/>
    </row>
    <row r="2" spans="1:37" ht="24" x14ac:dyDescent="0.2">
      <c r="A2" s="172"/>
      <c r="B2" s="173"/>
      <c r="C2" s="173"/>
      <c r="D2" s="174"/>
      <c r="E2" s="180" t="s">
        <v>225</v>
      </c>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1"/>
    </row>
    <row r="3" spans="1:37" ht="23.25" thickBot="1" x14ac:dyDescent="0.25">
      <c r="A3" s="172"/>
      <c r="B3" s="173"/>
      <c r="C3" s="173"/>
      <c r="D3" s="174"/>
      <c r="E3" s="182" t="s">
        <v>221</v>
      </c>
      <c r="F3" s="182"/>
      <c r="G3" s="182"/>
      <c r="H3" s="182"/>
      <c r="I3" s="182"/>
      <c r="J3" s="182"/>
      <c r="K3" s="182"/>
      <c r="L3" s="182"/>
      <c r="M3" s="182"/>
      <c r="N3" s="183"/>
      <c r="O3" s="183"/>
      <c r="P3" s="183"/>
      <c r="Q3" s="183"/>
      <c r="R3" s="183"/>
      <c r="S3" s="183"/>
      <c r="T3" s="183"/>
      <c r="U3" s="183"/>
      <c r="V3" s="183"/>
      <c r="W3" s="183"/>
      <c r="X3" s="183"/>
      <c r="Y3" s="182"/>
      <c r="Z3" s="182"/>
      <c r="AA3" s="182"/>
      <c r="AB3" s="182"/>
      <c r="AC3" s="182"/>
      <c r="AD3" s="182"/>
      <c r="AE3" s="182"/>
      <c r="AF3" s="182"/>
      <c r="AG3" s="182"/>
      <c r="AH3" s="182"/>
      <c r="AI3" s="182"/>
      <c r="AJ3" s="182"/>
      <c r="AK3" s="184"/>
    </row>
    <row r="4" spans="1:37" x14ac:dyDescent="0.2">
      <c r="A4" s="172"/>
      <c r="B4" s="173"/>
      <c r="C4" s="173"/>
      <c r="D4" s="174"/>
      <c r="E4" s="185" t="s">
        <v>217</v>
      </c>
      <c r="F4" s="186"/>
      <c r="G4" s="186"/>
      <c r="H4" s="186"/>
      <c r="I4" s="186"/>
      <c r="J4" s="186"/>
      <c r="K4" s="186"/>
      <c r="L4" s="186"/>
      <c r="M4" s="186"/>
      <c r="N4" s="185" t="s">
        <v>218</v>
      </c>
      <c r="O4" s="186"/>
      <c r="P4" s="186"/>
      <c r="Q4" s="186"/>
      <c r="R4" s="186"/>
      <c r="S4" s="186"/>
      <c r="T4" s="186"/>
      <c r="U4" s="186"/>
      <c r="V4" s="186"/>
      <c r="W4" s="186"/>
      <c r="X4" s="189"/>
      <c r="Y4" s="186" t="s">
        <v>219</v>
      </c>
      <c r="Z4" s="186"/>
      <c r="AA4" s="186"/>
      <c r="AB4" s="186"/>
      <c r="AC4" s="186"/>
      <c r="AD4" s="186"/>
      <c r="AE4" s="186"/>
      <c r="AF4" s="186"/>
      <c r="AG4" s="189"/>
      <c r="AH4" s="185" t="s">
        <v>220</v>
      </c>
      <c r="AI4" s="186"/>
      <c r="AJ4" s="186"/>
      <c r="AK4" s="189"/>
    </row>
    <row r="5" spans="1:37" ht="18" thickBot="1" x14ac:dyDescent="0.25">
      <c r="A5" s="175"/>
      <c r="B5" s="176"/>
      <c r="C5" s="176"/>
      <c r="D5" s="177"/>
      <c r="E5" s="187">
        <v>45258</v>
      </c>
      <c r="F5" s="188"/>
      <c r="G5" s="188"/>
      <c r="H5" s="188"/>
      <c r="I5" s="188"/>
      <c r="J5" s="188"/>
      <c r="K5" s="188"/>
      <c r="L5" s="188"/>
      <c r="M5" s="188"/>
      <c r="N5" s="190" t="s">
        <v>241</v>
      </c>
      <c r="O5" s="191"/>
      <c r="P5" s="191"/>
      <c r="Q5" s="191"/>
      <c r="R5" s="191"/>
      <c r="S5" s="191"/>
      <c r="T5" s="191"/>
      <c r="U5" s="191"/>
      <c r="V5" s="191"/>
      <c r="W5" s="191"/>
      <c r="X5" s="192"/>
      <c r="Y5" s="188" t="s">
        <v>222</v>
      </c>
      <c r="Z5" s="188"/>
      <c r="AA5" s="188"/>
      <c r="AB5" s="188"/>
      <c r="AC5" s="188"/>
      <c r="AD5" s="188"/>
      <c r="AE5" s="188"/>
      <c r="AF5" s="188"/>
      <c r="AG5" s="193"/>
      <c r="AH5" s="194" t="s">
        <v>223</v>
      </c>
      <c r="AI5" s="188"/>
      <c r="AJ5" s="188"/>
      <c r="AK5" s="193"/>
    </row>
    <row r="6" spans="1:37" x14ac:dyDescent="0.3">
      <c r="AD6" s="115"/>
    </row>
    <row r="7" spans="1:37" x14ac:dyDescent="0.2">
      <c r="A7" s="152" t="s">
        <v>61</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row>
    <row r="8" spans="1:37" x14ac:dyDescent="0.2">
      <c r="A8" s="152"/>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75" x14ac:dyDescent="0.2">
      <c r="A10" s="161" t="s">
        <v>213</v>
      </c>
      <c r="B10" s="162"/>
      <c r="C10" s="163" t="s">
        <v>242</v>
      </c>
      <c r="D10" s="164"/>
      <c r="E10" s="164"/>
      <c r="F10" s="164"/>
      <c r="G10" s="164"/>
      <c r="H10" s="164"/>
      <c r="I10" s="164"/>
      <c r="J10" s="164"/>
      <c r="K10" s="164"/>
      <c r="L10" s="164"/>
      <c r="M10" s="164"/>
      <c r="N10" s="165"/>
      <c r="O10" s="166"/>
      <c r="P10" s="167"/>
      <c r="Q10" s="168"/>
      <c r="R10" s="104"/>
      <c r="S10" s="104"/>
      <c r="T10" s="104"/>
      <c r="U10" s="104"/>
      <c r="V10" s="104"/>
      <c r="W10" s="104"/>
      <c r="X10" s="104"/>
      <c r="Y10" s="104"/>
      <c r="Z10" s="104"/>
      <c r="AA10" s="104"/>
      <c r="AB10" s="104"/>
      <c r="AC10" s="104"/>
      <c r="AD10" s="149"/>
      <c r="AE10" s="104"/>
      <c r="AF10" s="104"/>
      <c r="AG10" s="104"/>
      <c r="AH10" s="104"/>
      <c r="AI10" s="104"/>
      <c r="AJ10" s="104"/>
      <c r="AK10" s="104"/>
    </row>
    <row r="11" spans="1:37" ht="18.75" x14ac:dyDescent="0.2">
      <c r="A11" s="161" t="s">
        <v>62</v>
      </c>
      <c r="B11" s="162"/>
      <c r="C11" s="156" t="s">
        <v>243</v>
      </c>
      <c r="D11" s="157"/>
      <c r="E11" s="157"/>
      <c r="F11" s="157"/>
      <c r="G11" s="157"/>
      <c r="H11" s="157"/>
      <c r="I11" s="157"/>
      <c r="J11" s="157"/>
      <c r="K11" s="157"/>
      <c r="L11" s="157"/>
      <c r="M11" s="157"/>
      <c r="N11" s="158"/>
      <c r="O11" s="104"/>
      <c r="P11" s="104"/>
      <c r="Q11" s="104"/>
      <c r="R11" s="104"/>
      <c r="S11" s="104"/>
      <c r="T11" s="104"/>
      <c r="U11" s="104"/>
      <c r="V11" s="104"/>
      <c r="W11" s="104"/>
      <c r="X11" s="104"/>
      <c r="Y11" s="104"/>
      <c r="Z11" s="104"/>
      <c r="AA11" s="104"/>
      <c r="AB11" s="104"/>
      <c r="AC11" s="104"/>
      <c r="AD11" s="149"/>
      <c r="AE11" s="104"/>
      <c r="AF11" s="104"/>
      <c r="AG11" s="104"/>
      <c r="AH11" s="104"/>
      <c r="AI11" s="104"/>
      <c r="AJ11" s="104"/>
      <c r="AK11" s="104"/>
    </row>
    <row r="12" spans="1:37" ht="18.75" x14ac:dyDescent="0.2">
      <c r="A12" s="161" t="s">
        <v>63</v>
      </c>
      <c r="B12" s="162"/>
      <c r="C12" s="156" t="s">
        <v>244</v>
      </c>
      <c r="D12" s="157"/>
      <c r="E12" s="157"/>
      <c r="F12" s="157"/>
      <c r="G12" s="157"/>
      <c r="H12" s="157"/>
      <c r="I12" s="157"/>
      <c r="J12" s="157"/>
      <c r="K12" s="157"/>
      <c r="L12" s="157"/>
      <c r="M12" s="157"/>
      <c r="N12" s="158"/>
      <c r="O12" s="105"/>
      <c r="P12" s="105"/>
      <c r="Q12" s="105"/>
      <c r="R12" s="105"/>
      <c r="S12" s="105"/>
      <c r="T12" s="105"/>
      <c r="U12" s="105"/>
      <c r="V12" s="105"/>
      <c r="W12" s="105"/>
      <c r="X12" s="105"/>
      <c r="Y12" s="105"/>
      <c r="Z12" s="105"/>
      <c r="AA12" s="105"/>
      <c r="AB12" s="105"/>
      <c r="AC12" s="105"/>
      <c r="AD12" s="149"/>
      <c r="AE12" s="105"/>
      <c r="AF12" s="105"/>
      <c r="AG12" s="105"/>
      <c r="AH12" s="105"/>
      <c r="AI12" s="105"/>
      <c r="AJ12" s="105"/>
      <c r="AK12" s="105"/>
    </row>
    <row r="13" spans="1:37" s="117" customFormat="1" x14ac:dyDescent="0.2">
      <c r="A13" s="152" t="s">
        <v>64</v>
      </c>
      <c r="B13" s="153"/>
      <c r="C13" s="153"/>
      <c r="D13" s="153"/>
      <c r="E13" s="153"/>
      <c r="F13" s="153"/>
      <c r="G13" s="153"/>
      <c r="H13" s="152" t="s">
        <v>65</v>
      </c>
      <c r="I13" s="153"/>
      <c r="J13" s="153"/>
      <c r="K13" s="153"/>
      <c r="L13" s="153"/>
      <c r="M13" s="153"/>
      <c r="N13" s="153"/>
      <c r="O13" s="152" t="s">
        <v>66</v>
      </c>
      <c r="P13" s="153"/>
      <c r="Q13" s="153"/>
      <c r="R13" s="153"/>
      <c r="S13" s="153"/>
      <c r="T13" s="153"/>
      <c r="U13" s="153"/>
      <c r="V13" s="153"/>
      <c r="W13" s="153"/>
      <c r="X13" s="152" t="s">
        <v>67</v>
      </c>
      <c r="Y13" s="153"/>
      <c r="Z13" s="153"/>
      <c r="AA13" s="153"/>
      <c r="AB13" s="153"/>
      <c r="AC13" s="153"/>
      <c r="AD13" s="153"/>
      <c r="AE13" s="153"/>
      <c r="AF13" s="152" t="s">
        <v>68</v>
      </c>
      <c r="AG13" s="153"/>
      <c r="AH13" s="153"/>
      <c r="AI13" s="153"/>
      <c r="AJ13" s="153"/>
      <c r="AK13" s="153"/>
    </row>
    <row r="14" spans="1:37" s="117" customFormat="1" x14ac:dyDescent="0.2">
      <c r="A14" s="160" t="s">
        <v>69</v>
      </c>
      <c r="B14" s="152" t="s">
        <v>15</v>
      </c>
      <c r="C14" s="154" t="s">
        <v>17</v>
      </c>
      <c r="D14" s="154" t="s">
        <v>19</v>
      </c>
      <c r="E14" s="152" t="s">
        <v>21</v>
      </c>
      <c r="F14" s="154" t="s">
        <v>23</v>
      </c>
      <c r="G14" s="154" t="s">
        <v>70</v>
      </c>
      <c r="H14" s="154" t="s">
        <v>71</v>
      </c>
      <c r="I14" s="152" t="s">
        <v>72</v>
      </c>
      <c r="J14" s="154" t="s">
        <v>73</v>
      </c>
      <c r="K14" s="154" t="s">
        <v>74</v>
      </c>
      <c r="L14" s="154" t="s">
        <v>75</v>
      </c>
      <c r="M14" s="152" t="s">
        <v>72</v>
      </c>
      <c r="N14" s="154" t="s">
        <v>29</v>
      </c>
      <c r="O14" s="155" t="s">
        <v>76</v>
      </c>
      <c r="P14" s="154" t="s">
        <v>31</v>
      </c>
      <c r="Q14" s="154" t="s">
        <v>33</v>
      </c>
      <c r="R14" s="154" t="s">
        <v>77</v>
      </c>
      <c r="S14" s="153"/>
      <c r="T14" s="153"/>
      <c r="U14" s="153"/>
      <c r="V14" s="153"/>
      <c r="W14" s="153"/>
      <c r="X14" s="155" t="s">
        <v>78</v>
      </c>
      <c r="Y14" s="155" t="s">
        <v>79</v>
      </c>
      <c r="Z14" s="155" t="s">
        <v>72</v>
      </c>
      <c r="AA14" s="155" t="s">
        <v>80</v>
      </c>
      <c r="AB14" s="155" t="s">
        <v>72</v>
      </c>
      <c r="AC14" s="155" t="s">
        <v>240</v>
      </c>
      <c r="AD14" s="150" t="s">
        <v>81</v>
      </c>
      <c r="AE14" s="155" t="s">
        <v>50</v>
      </c>
      <c r="AF14" s="154" t="s">
        <v>68</v>
      </c>
      <c r="AG14" s="154" t="s">
        <v>82</v>
      </c>
      <c r="AH14" s="154" t="s">
        <v>83</v>
      </c>
      <c r="AI14" s="154" t="s">
        <v>84</v>
      </c>
      <c r="AJ14" s="154" t="s">
        <v>85</v>
      </c>
      <c r="AK14" s="154" t="s">
        <v>54</v>
      </c>
    </row>
    <row r="15" spans="1:37" s="117" customFormat="1" ht="98.25" x14ac:dyDescent="0.2">
      <c r="A15" s="153"/>
      <c r="B15" s="153"/>
      <c r="C15" s="153"/>
      <c r="D15" s="153"/>
      <c r="E15" s="153"/>
      <c r="F15" s="153"/>
      <c r="G15" s="153"/>
      <c r="H15" s="153"/>
      <c r="I15" s="153"/>
      <c r="J15" s="153"/>
      <c r="K15" s="153"/>
      <c r="L15" s="153"/>
      <c r="M15" s="153"/>
      <c r="N15" s="153"/>
      <c r="O15" s="153"/>
      <c r="P15" s="153"/>
      <c r="Q15" s="153"/>
      <c r="R15" s="118" t="s">
        <v>86</v>
      </c>
      <c r="S15" s="118" t="s">
        <v>87</v>
      </c>
      <c r="T15" s="118" t="s">
        <v>88</v>
      </c>
      <c r="U15" s="118" t="s">
        <v>89</v>
      </c>
      <c r="V15" s="118" t="s">
        <v>90</v>
      </c>
      <c r="W15" s="118" t="s">
        <v>91</v>
      </c>
      <c r="X15" s="153"/>
      <c r="Y15" s="153"/>
      <c r="Z15" s="153"/>
      <c r="AA15" s="153"/>
      <c r="AB15" s="153"/>
      <c r="AC15" s="153"/>
      <c r="AD15" s="151"/>
      <c r="AE15" s="153"/>
      <c r="AF15" s="153"/>
      <c r="AG15" s="153"/>
      <c r="AH15" s="153"/>
      <c r="AI15" s="153"/>
      <c r="AJ15" s="153"/>
      <c r="AK15" s="153"/>
    </row>
    <row r="16" spans="1:37" ht="86.25" x14ac:dyDescent="0.2">
      <c r="A16" s="134">
        <v>1</v>
      </c>
      <c r="B16" s="131" t="s">
        <v>197</v>
      </c>
      <c r="C16" s="131" t="s">
        <v>245</v>
      </c>
      <c r="D16" s="131" t="s">
        <v>246</v>
      </c>
      <c r="E16" s="131" t="s">
        <v>247</v>
      </c>
      <c r="F16" s="131" t="s">
        <v>203</v>
      </c>
      <c r="G16" s="134">
        <v>3550</v>
      </c>
      <c r="H16" s="137" t="str">
        <f>IF(G16&lt;=0,"",IF(G16&lt;=2,"Muy Baja",IF(G16&lt;=24,"Baja",IF(G16&lt;=500,"Media",IF(G16&lt;=5000,"Alta","Muy Alta")))))</f>
        <v>Alta</v>
      </c>
      <c r="I16" s="140">
        <f>IF(H16="","",IF(H16="Muy Baja",0.2,IF(H16="Baja",0.4,IF(H16="Media",0.6,IF(H16="Alta",0.8,IF(H16="Muy Alta",1,))))))</f>
        <v>0.8</v>
      </c>
      <c r="J16" s="143" t="s">
        <v>149</v>
      </c>
      <c r="K16" s="140" t="str">
        <f>IF(NOT(ISERROR(MATCH(J16,'[1]Tabla Impacto'!$B$221:$B$223,0))),'[1]Tabla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137" t="str">
        <f>IF(OR(K16='[1]Tabla Impacto'!$C$11,K16='[1]Tabla Impacto'!$D$11),"Leve",IF(OR(K16='[1]Tabla Impacto'!$C$12,K16='[1]Tabla Impacto'!$D$12),"Menor",IF(OR(K16='[1]Tabla Impacto'!$C$13,K16='[1]Tabla Impacto'!$D$13),"Moderado",IF(OR(K16='[1]Tabla Impacto'!$C$14,K16='[1]Tabla Impacto'!$D$14),"Mayor",IF(OR(K16='[1]Tabla Impacto'!$C$15,K16='[1]Tabla Impacto'!$D$15),"Catastrófico","")))))</f>
        <v>Menor</v>
      </c>
      <c r="M16" s="140">
        <f>IF(L16="","",IF(L16="Leve",0.2,IF(L16="Menor",0.4,IF(L16="Moderado",0.6,IF(L16="Mayor",0.8,IF(L16="Catastrófico",1,))))))</f>
        <v>0.4</v>
      </c>
      <c r="N16" s="14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22" t="s">
        <v>259</v>
      </c>
      <c r="Q16" s="110" t="str">
        <f t="shared" ref="Q16:Q79" si="0">IF(OR(R16="Preventivo",R16="Detectivo"),"Probabilidad",IF(R16="Correctivo","Impacto",""))</f>
        <v>Probabilidad</v>
      </c>
      <c r="R16" s="108" t="s">
        <v>167</v>
      </c>
      <c r="S16" s="108" t="s">
        <v>175</v>
      </c>
      <c r="T16" s="111" t="str">
        <f t="shared" ref="T16" si="1">IF(AND(R16="Preventivo",S16="Automático"),"50%",IF(AND(R16="Preventivo",S16="Manual"),"40%",IF(AND(R16="Detectivo",S16="Automático"),"40%",IF(AND(R16="Detectivo",S16="Manual"),"30%",IF(AND(R16="Correctivo",S16="Automático"),"35%",IF(AND(R16="Correctivo",S16="Manual"),"25%",""))))))</f>
        <v>40%</v>
      </c>
      <c r="U16" s="121" t="s">
        <v>178</v>
      </c>
      <c r="V16" s="121" t="s">
        <v>183</v>
      </c>
      <c r="W16" s="121" t="s">
        <v>187</v>
      </c>
      <c r="X16" s="112">
        <f>IFERROR(IF(Q16="Probabilidad",(I16-(+I16*T16)),IF(Q16="Impacto",I16,"")),"")</f>
        <v>0.48</v>
      </c>
      <c r="Y16" s="113" t="str">
        <f t="shared" ref="Y16" si="2">IFERROR(IF(X16="","",IF(X16&lt;=0.2,"Muy Baja",IF(X16&lt;=0.4,"Baja",IF(X16&lt;=0.6,"Media",IF(X16&lt;=0.8,"Alta","Muy Alta"))))),"")</f>
        <v>Media</v>
      </c>
      <c r="Z16" s="111">
        <f t="shared" ref="Z16" si="3">+X16</f>
        <v>0.48</v>
      </c>
      <c r="AA16" s="113" t="str">
        <f t="shared" ref="AA16" si="4">IFERROR(IF(AB16="","",IF(AB16&lt;=0.2,"Leve",IF(AB16&lt;=0.4,"Menor",IF(AB16&lt;=0.6,"Moderado",IF(AB16&lt;=0.8,"Mayor","Catastrófico"))))),"")</f>
        <v>Menor</v>
      </c>
      <c r="AB16" s="111">
        <f>IFERROR(IF(Q16="Impacto",(M16-(+M16*T16)),IF(Q16="Probabilidad",M16,"")),"")</f>
        <v>0.4</v>
      </c>
      <c r="AC16" s="114" t="str">
        <f t="shared" ref="AC16"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28" t="b">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0</v>
      </c>
      <c r="AE16" s="125" t="s">
        <v>192</v>
      </c>
      <c r="AF16" s="107"/>
      <c r="AG16" s="107"/>
      <c r="AH16" s="109"/>
      <c r="AI16" s="109"/>
      <c r="AJ16" s="107"/>
      <c r="AK16" s="106"/>
    </row>
    <row r="17" spans="1:37" ht="86.25" x14ac:dyDescent="0.2">
      <c r="A17" s="135"/>
      <c r="B17" s="132"/>
      <c r="C17" s="132"/>
      <c r="D17" s="132"/>
      <c r="E17" s="132"/>
      <c r="F17" s="132"/>
      <c r="G17" s="135"/>
      <c r="H17" s="138"/>
      <c r="I17" s="141"/>
      <c r="J17" s="144"/>
      <c r="K17" s="141"/>
      <c r="L17" s="138"/>
      <c r="M17" s="141"/>
      <c r="N17" s="147"/>
      <c r="O17" s="106">
        <v>2</v>
      </c>
      <c r="P17" s="123" t="s">
        <v>260</v>
      </c>
      <c r="Q17" s="110" t="str">
        <f t="shared" si="0"/>
        <v>Probabilidad</v>
      </c>
      <c r="R17" s="108" t="s">
        <v>169</v>
      </c>
      <c r="S17" s="108" t="s">
        <v>175</v>
      </c>
      <c r="T17" s="111" t="str">
        <f t="shared" ref="T17:T80" si="6">IF(AND(R17="Preventivo",S17="Automático"),"50%",IF(AND(R17="Preventivo",S17="Manual"),"40%",IF(AND(R17="Detectivo",S17="Automático"),"40%",IF(AND(R17="Detectivo",S17="Manual"),"30%",IF(AND(R17="Correctivo",S17="Automático"),"35%",IF(AND(R17="Correctivo",S17="Manual"),"25%",""))))))</f>
        <v>30%</v>
      </c>
      <c r="U17" s="121" t="s">
        <v>178</v>
      </c>
      <c r="V17" s="121" t="s">
        <v>183</v>
      </c>
      <c r="W17" s="121" t="s">
        <v>187</v>
      </c>
      <c r="X17" s="112">
        <f t="shared" ref="X17:X80" si="7">IFERROR(IF(Q17="Probabilidad",(I17-(+I17*T17)),IF(Q17="Impacto",I17,"")),"")</f>
        <v>0</v>
      </c>
      <c r="Y17" s="113" t="str">
        <f t="shared" ref="Y17:Y80" si="8">IFERROR(IF(X17="","",IF(X17&lt;=0.2,"Muy Baja",IF(X17&lt;=0.4,"Baja",IF(X17&lt;=0.6,"Media",IF(X17&lt;=0.8,"Alta","Muy Alta"))))),"")</f>
        <v>Muy Baja</v>
      </c>
      <c r="Z17" s="111">
        <f t="shared" ref="Z17:Z80" si="9">+X17</f>
        <v>0</v>
      </c>
      <c r="AA17" s="113" t="str">
        <f t="shared" ref="AA17:AA80" si="10">IFERROR(IF(AB17="","",IF(AB17&lt;=0.2,"Leve",IF(AB17&lt;=0.4,"Menor",IF(AB17&lt;=0.6,"Moderado",IF(AB17&lt;=0.8,"Mayor","Catastrófico"))))),"")</f>
        <v>Leve</v>
      </c>
      <c r="AB17" s="111">
        <f t="shared" ref="AB17:AB80" si="11">IFERROR(IF(Q17="Impacto",(M17-(+M17*T17)),IF(Q17="Probabilidad",M17,"")),"")</f>
        <v>0</v>
      </c>
      <c r="AC17" s="114" t="str">
        <f t="shared" ref="AC17:AC80" si="12">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Bajo</v>
      </c>
      <c r="AD17" s="129"/>
      <c r="AE17" s="126"/>
      <c r="AF17" s="107"/>
      <c r="AG17" s="107"/>
      <c r="AH17" s="109"/>
      <c r="AI17" s="109"/>
      <c r="AJ17" s="107"/>
      <c r="AK17" s="106"/>
    </row>
    <row r="18" spans="1:37" ht="86.25" x14ac:dyDescent="0.2">
      <c r="A18" s="135"/>
      <c r="B18" s="132"/>
      <c r="C18" s="132"/>
      <c r="D18" s="132"/>
      <c r="E18" s="132"/>
      <c r="F18" s="132"/>
      <c r="G18" s="135"/>
      <c r="H18" s="138"/>
      <c r="I18" s="141"/>
      <c r="J18" s="144"/>
      <c r="K18" s="141"/>
      <c r="L18" s="138"/>
      <c r="M18" s="141"/>
      <c r="N18" s="147"/>
      <c r="O18" s="106">
        <v>3</v>
      </c>
      <c r="P18" s="124" t="s">
        <v>261</v>
      </c>
      <c r="Q18" s="110" t="str">
        <f t="shared" si="0"/>
        <v>Impacto</v>
      </c>
      <c r="R18" s="108" t="s">
        <v>171</v>
      </c>
      <c r="S18" s="108" t="s">
        <v>175</v>
      </c>
      <c r="T18" s="111" t="str">
        <f t="shared" si="6"/>
        <v>25%</v>
      </c>
      <c r="U18" s="121" t="s">
        <v>178</v>
      </c>
      <c r="V18" s="121" t="s">
        <v>183</v>
      </c>
      <c r="W18" s="121" t="s">
        <v>187</v>
      </c>
      <c r="X18" s="112">
        <f t="shared" si="7"/>
        <v>0</v>
      </c>
      <c r="Y18" s="113" t="str">
        <f t="shared" si="8"/>
        <v>Muy Baja</v>
      </c>
      <c r="Z18" s="111">
        <f t="shared" si="9"/>
        <v>0</v>
      </c>
      <c r="AA18" s="113" t="str">
        <f t="shared" si="10"/>
        <v>Leve</v>
      </c>
      <c r="AB18" s="111">
        <f t="shared" si="11"/>
        <v>0</v>
      </c>
      <c r="AC18" s="114" t="str">
        <f t="shared" si="12"/>
        <v>Bajo</v>
      </c>
      <c r="AD18" s="129"/>
      <c r="AE18" s="127"/>
      <c r="AF18" s="107"/>
      <c r="AG18" s="107"/>
      <c r="AH18" s="109"/>
      <c r="AI18" s="109"/>
      <c r="AJ18" s="107"/>
      <c r="AK18" s="106"/>
    </row>
    <row r="19" spans="1:37" ht="86.25" x14ac:dyDescent="0.2">
      <c r="A19" s="135"/>
      <c r="B19" s="132"/>
      <c r="C19" s="132"/>
      <c r="D19" s="132"/>
      <c r="E19" s="132"/>
      <c r="F19" s="132"/>
      <c r="G19" s="135"/>
      <c r="H19" s="138"/>
      <c r="I19" s="141"/>
      <c r="J19" s="144"/>
      <c r="K19" s="141"/>
      <c r="L19" s="138"/>
      <c r="M19" s="141"/>
      <c r="N19" s="147"/>
      <c r="O19" s="106">
        <v>4</v>
      </c>
      <c r="P19" s="124" t="s">
        <v>262</v>
      </c>
      <c r="Q19" s="110" t="str">
        <f t="shared" si="0"/>
        <v>Probabilidad</v>
      </c>
      <c r="R19" s="108" t="s">
        <v>169</v>
      </c>
      <c r="S19" s="108" t="s">
        <v>175</v>
      </c>
      <c r="T19" s="111" t="str">
        <f t="shared" si="6"/>
        <v>30%</v>
      </c>
      <c r="U19" s="121" t="s">
        <v>178</v>
      </c>
      <c r="V19" s="121" t="s">
        <v>183</v>
      </c>
      <c r="W19" s="121" t="s">
        <v>187</v>
      </c>
      <c r="X19" s="112">
        <f t="shared" si="7"/>
        <v>0</v>
      </c>
      <c r="Y19" s="113" t="str">
        <f t="shared" si="8"/>
        <v>Muy Baja</v>
      </c>
      <c r="Z19" s="111">
        <f t="shared" si="9"/>
        <v>0</v>
      </c>
      <c r="AA19" s="113" t="str">
        <f t="shared" si="10"/>
        <v>Leve</v>
      </c>
      <c r="AB19" s="111">
        <f t="shared" si="11"/>
        <v>0</v>
      </c>
      <c r="AC19" s="114" t="str">
        <f t="shared" si="12"/>
        <v>Bajo</v>
      </c>
      <c r="AD19" s="129"/>
      <c r="AE19" s="108" t="s">
        <v>192</v>
      </c>
      <c r="AF19" s="107"/>
      <c r="AG19" s="107"/>
      <c r="AH19" s="109"/>
      <c r="AI19" s="109"/>
      <c r="AJ19" s="107"/>
      <c r="AK19" s="106"/>
    </row>
    <row r="20" spans="1:37" ht="18.75" customHeight="1" x14ac:dyDescent="0.2">
      <c r="A20" s="135"/>
      <c r="B20" s="132"/>
      <c r="C20" s="132"/>
      <c r="D20" s="132"/>
      <c r="E20" s="132"/>
      <c r="F20" s="132"/>
      <c r="G20" s="135"/>
      <c r="H20" s="138"/>
      <c r="I20" s="141"/>
      <c r="J20" s="144"/>
      <c r="K20" s="141"/>
      <c r="L20" s="138"/>
      <c r="M20" s="141"/>
      <c r="N20" s="147"/>
      <c r="O20" s="106">
        <v>5</v>
      </c>
      <c r="P20" s="120"/>
      <c r="Q20" s="110" t="str">
        <f t="shared" si="0"/>
        <v/>
      </c>
      <c r="R20" s="108"/>
      <c r="S20" s="108"/>
      <c r="T20" s="111" t="str">
        <f t="shared" si="6"/>
        <v/>
      </c>
      <c r="U20" s="121"/>
      <c r="V20" s="121"/>
      <c r="W20" s="121" t="s">
        <v>187</v>
      </c>
      <c r="X20" s="112" t="str">
        <f t="shared" si="7"/>
        <v/>
      </c>
      <c r="Y20" s="113" t="str">
        <f t="shared" si="8"/>
        <v/>
      </c>
      <c r="Z20" s="111" t="str">
        <f t="shared" si="9"/>
        <v/>
      </c>
      <c r="AA20" s="113" t="str">
        <f t="shared" si="10"/>
        <v/>
      </c>
      <c r="AB20" s="111" t="str">
        <f t="shared" si="11"/>
        <v/>
      </c>
      <c r="AC20" s="114" t="str">
        <f t="shared" si="12"/>
        <v/>
      </c>
      <c r="AD20" s="129"/>
      <c r="AE20" s="108"/>
      <c r="AF20" s="107"/>
      <c r="AG20" s="107"/>
      <c r="AH20" s="109"/>
      <c r="AI20" s="109"/>
      <c r="AJ20" s="107"/>
      <c r="AK20" s="106"/>
    </row>
    <row r="21" spans="1:37" ht="18.75" customHeight="1" x14ac:dyDescent="0.2">
      <c r="A21" s="135"/>
      <c r="B21" s="132"/>
      <c r="C21" s="132"/>
      <c r="D21" s="132"/>
      <c r="E21" s="132"/>
      <c r="F21" s="132"/>
      <c r="G21" s="135"/>
      <c r="H21" s="138"/>
      <c r="I21" s="141"/>
      <c r="J21" s="144"/>
      <c r="K21" s="141"/>
      <c r="L21" s="138"/>
      <c r="M21" s="141"/>
      <c r="N21" s="147"/>
      <c r="O21" s="106">
        <v>6</v>
      </c>
      <c r="P21" s="120"/>
      <c r="Q21" s="110" t="str">
        <f t="shared" si="0"/>
        <v/>
      </c>
      <c r="R21" s="108"/>
      <c r="S21" s="108"/>
      <c r="T21" s="111" t="str">
        <f t="shared" si="6"/>
        <v/>
      </c>
      <c r="U21" s="121"/>
      <c r="V21" s="121"/>
      <c r="W21" s="121" t="s">
        <v>187</v>
      </c>
      <c r="X21" s="112" t="str">
        <f t="shared" si="7"/>
        <v/>
      </c>
      <c r="Y21" s="113" t="str">
        <f t="shared" si="8"/>
        <v/>
      </c>
      <c r="Z21" s="111" t="str">
        <f t="shared" si="9"/>
        <v/>
      </c>
      <c r="AA21" s="113" t="str">
        <f t="shared" si="10"/>
        <v/>
      </c>
      <c r="AB21" s="111" t="str">
        <f t="shared" si="11"/>
        <v/>
      </c>
      <c r="AC21" s="114" t="str">
        <f t="shared" si="12"/>
        <v/>
      </c>
      <c r="AD21" s="129"/>
      <c r="AE21" s="108"/>
      <c r="AF21" s="107"/>
      <c r="AG21" s="107"/>
      <c r="AH21" s="109"/>
      <c r="AI21" s="109"/>
      <c r="AJ21" s="107"/>
      <c r="AK21" s="106"/>
    </row>
    <row r="22" spans="1:37" ht="18.75" customHeight="1" x14ac:dyDescent="0.2">
      <c r="A22" s="136"/>
      <c r="B22" s="133"/>
      <c r="C22" s="133"/>
      <c r="D22" s="133"/>
      <c r="E22" s="133"/>
      <c r="F22" s="133"/>
      <c r="G22" s="136"/>
      <c r="H22" s="139"/>
      <c r="I22" s="142"/>
      <c r="J22" s="145"/>
      <c r="K22" s="142"/>
      <c r="L22" s="139"/>
      <c r="M22" s="142"/>
      <c r="N22" s="148"/>
      <c r="O22" s="106">
        <v>7</v>
      </c>
      <c r="P22" s="120"/>
      <c r="Q22" s="110" t="str">
        <f t="shared" si="0"/>
        <v/>
      </c>
      <c r="R22" s="108"/>
      <c r="S22" s="108"/>
      <c r="T22" s="111" t="str">
        <f t="shared" si="6"/>
        <v/>
      </c>
      <c r="U22" s="121"/>
      <c r="V22" s="121"/>
      <c r="W22" s="121" t="s">
        <v>187</v>
      </c>
      <c r="X22" s="112" t="str">
        <f t="shared" si="7"/>
        <v/>
      </c>
      <c r="Y22" s="113" t="str">
        <f t="shared" si="8"/>
        <v/>
      </c>
      <c r="Z22" s="111" t="str">
        <f t="shared" si="9"/>
        <v/>
      </c>
      <c r="AA22" s="113" t="str">
        <f t="shared" si="10"/>
        <v/>
      </c>
      <c r="AB22" s="111" t="str">
        <f t="shared" si="11"/>
        <v/>
      </c>
      <c r="AC22" s="114" t="str">
        <f t="shared" si="12"/>
        <v/>
      </c>
      <c r="AD22" s="130"/>
      <c r="AE22" s="108"/>
      <c r="AF22" s="107"/>
      <c r="AG22" s="107"/>
      <c r="AH22" s="109"/>
      <c r="AI22" s="109"/>
      <c r="AJ22" s="107"/>
      <c r="AK22" s="106"/>
    </row>
    <row r="23" spans="1:37" ht="86.25" x14ac:dyDescent="0.2">
      <c r="A23" s="134">
        <v>2</v>
      </c>
      <c r="B23" s="131" t="s">
        <v>197</v>
      </c>
      <c r="C23" s="131" t="s">
        <v>248</v>
      </c>
      <c r="D23" s="131" t="s">
        <v>249</v>
      </c>
      <c r="E23" s="131" t="s">
        <v>247</v>
      </c>
      <c r="F23" s="131" t="s">
        <v>203</v>
      </c>
      <c r="G23" s="134">
        <v>3500</v>
      </c>
      <c r="H23" s="137" t="str">
        <f t="shared" ref="H23" si="13">IF(G23&lt;=0,"",IF(G23&lt;=2,"Muy Baja",IF(G23&lt;=24,"Baja",IF(G23&lt;=500,"Media",IF(G23&lt;=5000,"Alta","Muy Alta")))))</f>
        <v>Alta</v>
      </c>
      <c r="I23" s="140">
        <f t="shared" ref="I23" si="14">IF(H23="","",IF(H23="Muy Baja",0.2,IF(H23="Baja",0.4,IF(H23="Media",0.6,IF(H23="Alta",0.8,IF(H23="Muy Alta",1,))))))</f>
        <v>0.8</v>
      </c>
      <c r="J23" s="143" t="s">
        <v>149</v>
      </c>
      <c r="K23" s="140" t="str">
        <f>IF(NOT(ISERROR(MATCH(J23,'[1]Tabla Impacto'!$B$221:$B$223,0))),'[1]Tabla Impacto'!$F$223&amp;"Por favor no seleccionar los criterios de impacto(Afectación Económica o presupuestal y Pérdida Reputacional)",J23)</f>
        <v xml:space="preserve">     El riesgo afecta la imagen de la entidad internamente, de conocimiento general, nivel interno, de junta dircetiva y accionistas y/o de provedores</v>
      </c>
      <c r="L23" s="137" t="str">
        <f>IF(OR(K23='[1]Tabla Impacto'!$C$11,K23='[1]Tabla Impacto'!$D$11),"Leve",IF(OR(K23='[1]Tabla Impacto'!$C$12,K23='[1]Tabla Impacto'!$D$12),"Menor",IF(OR(K23='[1]Tabla Impacto'!$C$13,K23='[1]Tabla Impacto'!$D$13),"Moderado",IF(OR(K23='[1]Tabla Impacto'!$C$14,K23='[1]Tabla Impacto'!$D$14),"Mayor",IF(OR(K23='[1]Tabla Impacto'!$C$15,K23='[1]Tabla Impacto'!$D$15),"Catastrófico","")))))</f>
        <v>Menor</v>
      </c>
      <c r="M23" s="140">
        <f t="shared" ref="M23" si="15">IF(L23="","",IF(L23="Leve",0.2,IF(L23="Menor",0.4,IF(L23="Moderado",0.6,IF(L23="Mayor",0.8,IF(L23="Catastrófico",1,))))))</f>
        <v>0.4</v>
      </c>
      <c r="N23" s="146" t="str">
        <f t="shared" ref="N23" si="16">IF(OR(AND(H23="Muy Baja",L23="Leve"),AND(H23="Muy Baja",L23="Menor"),AND(H23="Baja",L23="Leve")),"Bajo",IF(OR(AND(H23="Muy baja",L23="Moderado"),AND(H23="Baja",L23="Menor"),AND(H23="Baja",L23="Moderado"),AND(H23="Media",L23="Leve"),AND(H23="Media",L23="Menor"),AND(H23="Media",L23="Moderado"),AND(H23="Alta",L23="Leve"),AND(H23="Alta",L23="Menor")),"Moderado",IF(OR(AND(H23="Muy Baja",L23="Mayor"),AND(H23="Baja",L23="Mayor"),AND(H23="Media",L23="Mayor"),AND(H23="Alta",L23="Moderado"),AND(H23="Alta",L23="Mayor"),AND(H23="Muy Alta",L23="Leve"),AND(H23="Muy Alta",L23="Menor"),AND(H23="Muy Alta",L23="Moderado"),AND(H23="Muy Alta",L23="Mayor")),"Alto",IF(OR(AND(H23="Muy Baja",L23="Catastrófico"),AND(H23="Baja",L23="Catastrófico"),AND(H23="Media",L23="Catastrófico"),AND(H23="Alta",L23="Catastrófico"),AND(H23="Muy Alta",L23="Catastrófico")),"Extremo",""))))</f>
        <v>Moderado</v>
      </c>
      <c r="O23" s="106">
        <v>1</v>
      </c>
      <c r="P23" s="124" t="s">
        <v>263</v>
      </c>
      <c r="Q23" s="110" t="str">
        <f t="shared" si="0"/>
        <v>Probabilidad</v>
      </c>
      <c r="R23" s="108" t="s">
        <v>169</v>
      </c>
      <c r="S23" s="108" t="s">
        <v>175</v>
      </c>
      <c r="T23" s="111" t="str">
        <f t="shared" si="6"/>
        <v>30%</v>
      </c>
      <c r="U23" s="121" t="s">
        <v>178</v>
      </c>
      <c r="V23" s="121" t="s">
        <v>183</v>
      </c>
      <c r="W23" s="121" t="s">
        <v>187</v>
      </c>
      <c r="X23" s="112">
        <f t="shared" si="7"/>
        <v>0.56000000000000005</v>
      </c>
      <c r="Y23" s="113" t="str">
        <f t="shared" si="8"/>
        <v>Media</v>
      </c>
      <c r="Z23" s="111">
        <f t="shared" si="9"/>
        <v>0.56000000000000005</v>
      </c>
      <c r="AA23" s="113" t="str">
        <f t="shared" si="10"/>
        <v>Menor</v>
      </c>
      <c r="AB23" s="111">
        <f t="shared" si="11"/>
        <v>0.4</v>
      </c>
      <c r="AC23" s="114" t="str">
        <f t="shared" si="12"/>
        <v>Moderado</v>
      </c>
      <c r="AD23" s="128" t="b">
        <f t="shared" ref="AD23" si="17">IFERROR(IF(OR(AND(AC23="Bajo",AC24="Bajo",AC25="Bajo"),AND(AC23="Bajo",AC24="Bajo",AC25=""),AND(AC23="Bajo",AC24="",AC25="")),"Bajo",IF(OR(AND(AC23="Bajo",AC24="Bajo",AC25="Moderado"),AND(AC23="Bajo",AC24="Moderado",AC25="Moderado"),AND(AC23="Moderado",AC24="Moderado",AC25="Moderado"),AND(AC23="Bajo",AC24="Moderado",AC25=""),AND(AC23="Moderado",AC24="Bajo",AC25=""),AND(AC23="Moderado",AC24="Moderado",AC25=""),AND(AC23="Moderado",AC24="",AC25="")),"Moderado",IF(OR(AND(AC23="Bajo",AC24="Bajo",AC25="Alto"),AND(AC23="Bajo",AC24="Moderado",AC25="Alto"),AND(AC23="Moderado",AC24="Bajo",AC25="Alto"),AND(AC23="Moderado",AC24="Alto",AC25="Bajo"),AND(AC23="Moderado",AC24="Moderado",AC25="Alto"),AND(AC23="Alto",AC24="Bajo",AC25="Bajo"),AND(AC23="Alto",AC24="Moderado",AC25="Bajo"),AND(AC23="Alto",AC24="Moderado",AC25="Moderado"),AND(AC23="Alto",AC24="Alto",AC25="Bajo"),AND(AC23="Alto",AC24="Alto",AC25="Moderado"),AND(AC23="Alto",AC24="Alto",AC25="Alto"),AND(AC23="Alto",AC24="Bajo",AC25=""),AND(AC23="Alto",AC24="Moderado",AC25=""),AND(AC23="Alto",AC24="Alto",AC25=""),AND(AC23="Bajo",AC24="Alto",AC25=""),AND(AC23="Moderado",AC24="Alto",AC25=""),AND(AC23="Alto",AC24="",AC25="")),"Alto",IF(OR(AND(AC23="Bajo",AC24="Bajo",AC25="Extremo"),AND(AC23="Bajo",AC24="Moderado",AC25="Extremo"),AND(AC23="Bajo",AC24="Alto",AC25="Extremo"),AND(AC23="Moderado",AC24="Bajo",AC25="Extremo"),AND(AC23="Moderado",AC24="Alto",AC25="Extremo"),AND(AC23="Moderado",AC24="Moderado",AC25="Extremo"),AND(AC23="Alto",AC24="Bajo",AC25="Extremo"),AND(AC23="Alto",AC24="Moderado",AC25="Extremo"),AND(AC23="Alto",AC24="Alto",AC25="Extremo"),AND(AC23="Extremo",AC24="Bajo",AC25="Bajo"),AND(AC23="Extremo",AC24="Bajo",AC25="Moderado"),AND(AC23="Extremo",AC24="Bajo",AC25="Alto"),AND(AC23="Extremo",AC24="Moderado",AC25="Bajo"),AND(AC23="Extremo",AC24="Moderado",AC25="Moderado"),AND(AC23="Extremo",AC24="Moderado",AC25="Alto"),AND(AC23="Extremo",AC24="Alto",AC25="Bajo"),AND(AC23="Extremo",AC24="Alto",AC25="Moderado"),AND(AC23="Extremo",AC24="Alto",AC25="Alto"),AND(AC23="Extremo",AC24="Extremo",AC25="Bajo"),AND(AC23="Extremo",AC24="Extremo",AC25="Moderado"),AND(AC23="Extremo",AC24="Extremo",AC25="Alto"),AND(AC23="Extremo",AC24="Extremo",AC25="Extremo"),AND(AC23="Extremo",AC24="Bajo",AC25=""),AND(AC23="Extremo",AC24="Moderado",AC25=""),AND(AC23="Extremo",AC24="Alto",AC25=""),AND(AC23="Extremo",AC24="",AC25="")),"Extremo")))),"")</f>
        <v>0</v>
      </c>
      <c r="AE23" s="125" t="s">
        <v>192</v>
      </c>
      <c r="AF23" s="107"/>
      <c r="AG23" s="107"/>
      <c r="AH23" s="109"/>
      <c r="AI23" s="109"/>
      <c r="AJ23" s="107"/>
      <c r="AK23" s="106"/>
    </row>
    <row r="24" spans="1:37" ht="86.25" x14ac:dyDescent="0.2">
      <c r="A24" s="135"/>
      <c r="B24" s="132"/>
      <c r="C24" s="132"/>
      <c r="D24" s="132"/>
      <c r="E24" s="132"/>
      <c r="F24" s="132"/>
      <c r="G24" s="135"/>
      <c r="H24" s="138"/>
      <c r="I24" s="141"/>
      <c r="J24" s="144"/>
      <c r="K24" s="141"/>
      <c r="L24" s="138"/>
      <c r="M24" s="141"/>
      <c r="N24" s="147"/>
      <c r="O24" s="106">
        <v>2</v>
      </c>
      <c r="P24" s="124" t="s">
        <v>264</v>
      </c>
      <c r="Q24" s="110" t="str">
        <f t="shared" si="0"/>
        <v>Probabilidad</v>
      </c>
      <c r="R24" s="108" t="s">
        <v>169</v>
      </c>
      <c r="S24" s="108" t="s">
        <v>175</v>
      </c>
      <c r="T24" s="111" t="str">
        <f t="shared" si="6"/>
        <v>30%</v>
      </c>
      <c r="U24" s="121" t="s">
        <v>178</v>
      </c>
      <c r="V24" s="121" t="s">
        <v>183</v>
      </c>
      <c r="W24" s="121" t="s">
        <v>187</v>
      </c>
      <c r="X24" s="112">
        <f t="shared" si="7"/>
        <v>0</v>
      </c>
      <c r="Y24" s="113" t="str">
        <f t="shared" si="8"/>
        <v>Muy Baja</v>
      </c>
      <c r="Z24" s="111">
        <f t="shared" si="9"/>
        <v>0</v>
      </c>
      <c r="AA24" s="113" t="str">
        <f t="shared" si="10"/>
        <v>Leve</v>
      </c>
      <c r="AB24" s="111">
        <f t="shared" si="11"/>
        <v>0</v>
      </c>
      <c r="AC24" s="114" t="str">
        <f t="shared" si="12"/>
        <v>Bajo</v>
      </c>
      <c r="AD24" s="129"/>
      <c r="AE24" s="126"/>
      <c r="AF24" s="107"/>
      <c r="AG24" s="107"/>
      <c r="AH24" s="109"/>
      <c r="AI24" s="109"/>
      <c r="AJ24" s="107"/>
      <c r="AK24" s="106"/>
    </row>
    <row r="25" spans="1:37" ht="86.25" x14ac:dyDescent="0.2">
      <c r="A25" s="135"/>
      <c r="B25" s="132"/>
      <c r="C25" s="132"/>
      <c r="D25" s="132"/>
      <c r="E25" s="132"/>
      <c r="F25" s="132"/>
      <c r="G25" s="135"/>
      <c r="H25" s="138"/>
      <c r="I25" s="141"/>
      <c r="J25" s="144"/>
      <c r="K25" s="141"/>
      <c r="L25" s="138"/>
      <c r="M25" s="141"/>
      <c r="N25" s="147"/>
      <c r="O25" s="106">
        <v>3</v>
      </c>
      <c r="P25" s="124" t="s">
        <v>265</v>
      </c>
      <c r="Q25" s="110" t="str">
        <f t="shared" si="0"/>
        <v>Probabilidad</v>
      </c>
      <c r="R25" s="108" t="s">
        <v>169</v>
      </c>
      <c r="S25" s="108" t="s">
        <v>175</v>
      </c>
      <c r="T25" s="111" t="str">
        <f t="shared" si="6"/>
        <v>30%</v>
      </c>
      <c r="U25" s="121" t="s">
        <v>178</v>
      </c>
      <c r="V25" s="121" t="s">
        <v>183</v>
      </c>
      <c r="W25" s="121" t="s">
        <v>187</v>
      </c>
      <c r="X25" s="112">
        <f t="shared" si="7"/>
        <v>0</v>
      </c>
      <c r="Y25" s="113" t="str">
        <f t="shared" si="8"/>
        <v>Muy Baja</v>
      </c>
      <c r="Z25" s="111">
        <f t="shared" si="9"/>
        <v>0</v>
      </c>
      <c r="AA25" s="113" t="str">
        <f t="shared" si="10"/>
        <v>Leve</v>
      </c>
      <c r="AB25" s="111">
        <f t="shared" si="11"/>
        <v>0</v>
      </c>
      <c r="AC25" s="114" t="str">
        <f t="shared" si="12"/>
        <v>Bajo</v>
      </c>
      <c r="AD25" s="129"/>
      <c r="AE25" s="127"/>
      <c r="AF25" s="107"/>
      <c r="AG25" s="107"/>
      <c r="AH25" s="109"/>
      <c r="AI25" s="109"/>
      <c r="AJ25" s="107"/>
      <c r="AK25" s="106"/>
    </row>
    <row r="26" spans="1:37" ht="86.25" x14ac:dyDescent="0.2">
      <c r="A26" s="135"/>
      <c r="B26" s="132"/>
      <c r="C26" s="132"/>
      <c r="D26" s="132"/>
      <c r="E26" s="132"/>
      <c r="F26" s="132"/>
      <c r="G26" s="135"/>
      <c r="H26" s="138"/>
      <c r="I26" s="141"/>
      <c r="J26" s="144"/>
      <c r="K26" s="141"/>
      <c r="L26" s="138"/>
      <c r="M26" s="141"/>
      <c r="N26" s="147"/>
      <c r="O26" s="106">
        <v>4</v>
      </c>
      <c r="P26" s="124" t="s">
        <v>266</v>
      </c>
      <c r="Q26" s="110" t="str">
        <f t="shared" si="0"/>
        <v>Probabilidad</v>
      </c>
      <c r="R26" s="108" t="s">
        <v>169</v>
      </c>
      <c r="S26" s="108" t="s">
        <v>175</v>
      </c>
      <c r="T26" s="111" t="str">
        <f t="shared" si="6"/>
        <v>30%</v>
      </c>
      <c r="U26" s="121" t="s">
        <v>178</v>
      </c>
      <c r="V26" s="121" t="s">
        <v>183</v>
      </c>
      <c r="W26" s="121" t="s">
        <v>187</v>
      </c>
      <c r="X26" s="112">
        <f t="shared" si="7"/>
        <v>0</v>
      </c>
      <c r="Y26" s="113" t="str">
        <f t="shared" si="8"/>
        <v>Muy Baja</v>
      </c>
      <c r="Z26" s="111">
        <f t="shared" si="9"/>
        <v>0</v>
      </c>
      <c r="AA26" s="113" t="str">
        <f t="shared" si="10"/>
        <v>Leve</v>
      </c>
      <c r="AB26" s="111">
        <f t="shared" si="11"/>
        <v>0</v>
      </c>
      <c r="AC26" s="114" t="str">
        <f t="shared" si="12"/>
        <v>Bajo</v>
      </c>
      <c r="AD26" s="129"/>
      <c r="AE26" s="125" t="s">
        <v>192</v>
      </c>
      <c r="AF26" s="107"/>
      <c r="AG26" s="107"/>
      <c r="AH26" s="109"/>
      <c r="AI26" s="109"/>
      <c r="AJ26" s="107"/>
      <c r="AK26" s="106"/>
    </row>
    <row r="27" spans="1:37" ht="86.25" x14ac:dyDescent="0.2">
      <c r="A27" s="135"/>
      <c r="B27" s="132"/>
      <c r="C27" s="132"/>
      <c r="D27" s="132"/>
      <c r="E27" s="132"/>
      <c r="F27" s="132"/>
      <c r="G27" s="135"/>
      <c r="H27" s="138"/>
      <c r="I27" s="141"/>
      <c r="J27" s="144"/>
      <c r="K27" s="141"/>
      <c r="L27" s="138"/>
      <c r="M27" s="141"/>
      <c r="N27" s="147"/>
      <c r="O27" s="106">
        <v>5</v>
      </c>
      <c r="P27" s="124" t="s">
        <v>267</v>
      </c>
      <c r="Q27" s="110" t="str">
        <f t="shared" si="0"/>
        <v>Probabilidad</v>
      </c>
      <c r="R27" s="108" t="s">
        <v>169</v>
      </c>
      <c r="S27" s="108" t="s">
        <v>175</v>
      </c>
      <c r="T27" s="111" t="str">
        <f t="shared" si="6"/>
        <v>30%</v>
      </c>
      <c r="U27" s="121" t="s">
        <v>178</v>
      </c>
      <c r="V27" s="121" t="s">
        <v>183</v>
      </c>
      <c r="W27" s="121" t="s">
        <v>187</v>
      </c>
      <c r="X27" s="112">
        <f t="shared" si="7"/>
        <v>0</v>
      </c>
      <c r="Y27" s="113" t="str">
        <f t="shared" si="8"/>
        <v>Muy Baja</v>
      </c>
      <c r="Z27" s="111">
        <f t="shared" si="9"/>
        <v>0</v>
      </c>
      <c r="AA27" s="113" t="str">
        <f t="shared" si="10"/>
        <v>Leve</v>
      </c>
      <c r="AB27" s="111">
        <f t="shared" si="11"/>
        <v>0</v>
      </c>
      <c r="AC27" s="114" t="str">
        <f t="shared" si="12"/>
        <v>Bajo</v>
      </c>
      <c r="AD27" s="129"/>
      <c r="AE27" s="126"/>
      <c r="AF27" s="107"/>
      <c r="AG27" s="107"/>
      <c r="AH27" s="109"/>
      <c r="AI27" s="109"/>
      <c r="AJ27" s="107"/>
      <c r="AK27" s="106"/>
    </row>
    <row r="28" spans="1:37" ht="86.25" x14ac:dyDescent="0.2">
      <c r="A28" s="135"/>
      <c r="B28" s="132"/>
      <c r="C28" s="132"/>
      <c r="D28" s="132"/>
      <c r="E28" s="132"/>
      <c r="F28" s="132"/>
      <c r="G28" s="135"/>
      <c r="H28" s="138"/>
      <c r="I28" s="141"/>
      <c r="J28" s="144"/>
      <c r="K28" s="141"/>
      <c r="L28" s="138"/>
      <c r="M28" s="141"/>
      <c r="N28" s="147"/>
      <c r="O28" s="106">
        <v>6</v>
      </c>
      <c r="P28" s="124" t="s">
        <v>268</v>
      </c>
      <c r="Q28" s="110" t="str">
        <f t="shared" si="0"/>
        <v>Probabilidad</v>
      </c>
      <c r="R28" s="108" t="s">
        <v>169</v>
      </c>
      <c r="S28" s="108" t="s">
        <v>175</v>
      </c>
      <c r="T28" s="111" t="str">
        <f t="shared" si="6"/>
        <v>30%</v>
      </c>
      <c r="U28" s="121" t="s">
        <v>178</v>
      </c>
      <c r="V28" s="121" t="s">
        <v>183</v>
      </c>
      <c r="W28" s="121" t="s">
        <v>187</v>
      </c>
      <c r="X28" s="112">
        <f t="shared" si="7"/>
        <v>0</v>
      </c>
      <c r="Y28" s="113" t="str">
        <f t="shared" si="8"/>
        <v>Muy Baja</v>
      </c>
      <c r="Z28" s="111">
        <f t="shared" si="9"/>
        <v>0</v>
      </c>
      <c r="AA28" s="113" t="str">
        <f t="shared" si="10"/>
        <v>Leve</v>
      </c>
      <c r="AB28" s="111">
        <f t="shared" si="11"/>
        <v>0</v>
      </c>
      <c r="AC28" s="114" t="str">
        <f t="shared" si="12"/>
        <v>Bajo</v>
      </c>
      <c r="AD28" s="129"/>
      <c r="AE28" s="127"/>
      <c r="AF28" s="107"/>
      <c r="AG28" s="107"/>
      <c r="AH28" s="109"/>
      <c r="AI28" s="109"/>
      <c r="AJ28" s="107"/>
      <c r="AK28" s="106"/>
    </row>
    <row r="29" spans="1:37" ht="86.25" x14ac:dyDescent="0.2">
      <c r="A29" s="136"/>
      <c r="B29" s="133"/>
      <c r="C29" s="133"/>
      <c r="D29" s="133"/>
      <c r="E29" s="133"/>
      <c r="F29" s="133"/>
      <c r="G29" s="136"/>
      <c r="H29" s="139"/>
      <c r="I29" s="142"/>
      <c r="J29" s="145"/>
      <c r="K29" s="142"/>
      <c r="L29" s="139"/>
      <c r="M29" s="142"/>
      <c r="N29" s="148"/>
      <c r="O29" s="106">
        <v>7</v>
      </c>
      <c r="P29" s="124" t="s">
        <v>269</v>
      </c>
      <c r="Q29" s="110" t="str">
        <f t="shared" si="0"/>
        <v>Probabilidad</v>
      </c>
      <c r="R29" s="108" t="s">
        <v>169</v>
      </c>
      <c r="S29" s="108" t="s">
        <v>175</v>
      </c>
      <c r="T29" s="111" t="str">
        <f t="shared" si="6"/>
        <v>30%</v>
      </c>
      <c r="U29" s="121" t="s">
        <v>178</v>
      </c>
      <c r="V29" s="121" t="s">
        <v>183</v>
      </c>
      <c r="W29" s="121" t="s">
        <v>187</v>
      </c>
      <c r="X29" s="112">
        <f t="shared" si="7"/>
        <v>0</v>
      </c>
      <c r="Y29" s="113" t="str">
        <f t="shared" si="8"/>
        <v>Muy Baja</v>
      </c>
      <c r="Z29" s="111">
        <f t="shared" si="9"/>
        <v>0</v>
      </c>
      <c r="AA29" s="113" t="str">
        <f t="shared" si="10"/>
        <v>Leve</v>
      </c>
      <c r="AB29" s="111">
        <f t="shared" si="11"/>
        <v>0</v>
      </c>
      <c r="AC29" s="114" t="str">
        <f t="shared" si="12"/>
        <v>Bajo</v>
      </c>
      <c r="AD29" s="130"/>
      <c r="AE29" s="108" t="s">
        <v>192</v>
      </c>
      <c r="AF29" s="107"/>
      <c r="AG29" s="107"/>
      <c r="AH29" s="109"/>
      <c r="AI29" s="109"/>
      <c r="AJ29" s="107"/>
      <c r="AK29" s="106"/>
    </row>
    <row r="30" spans="1:37" ht="86.25" x14ac:dyDescent="0.2">
      <c r="A30" s="134">
        <v>3</v>
      </c>
      <c r="B30" s="131" t="s">
        <v>197</v>
      </c>
      <c r="C30" s="131" t="s">
        <v>250</v>
      </c>
      <c r="D30" s="131" t="s">
        <v>251</v>
      </c>
      <c r="E30" s="131" t="s">
        <v>252</v>
      </c>
      <c r="F30" s="131" t="s">
        <v>203</v>
      </c>
      <c r="G30" s="134">
        <v>300</v>
      </c>
      <c r="H30" s="137" t="str">
        <f t="shared" ref="H30" si="18">IF(G30&lt;=0,"",IF(G30&lt;=2,"Muy Baja",IF(G30&lt;=24,"Baja",IF(G30&lt;=500,"Media",IF(G30&lt;=5000,"Alta","Muy Alta")))))</f>
        <v>Media</v>
      </c>
      <c r="I30" s="140">
        <f t="shared" ref="I30" si="19">IF(H30="","",IF(H30="Muy Baja",0.2,IF(H30="Baja",0.4,IF(H30="Media",0.6,IF(H30="Alta",0.8,IF(H30="Muy Alta",1,))))))</f>
        <v>0.6</v>
      </c>
      <c r="J30" s="143" t="s">
        <v>149</v>
      </c>
      <c r="K30" s="140" t="str">
        <f>IF(NOT(ISERROR(MATCH(J30,'[1]Tabla Impacto'!$B$221:$B$223,0))),'[1]Tabla Impacto'!$F$223&amp;"Por favor no seleccionar los criterios de impacto(Afectación Económica o presupuestal y Pérdida Reputacional)",J30)</f>
        <v xml:space="preserve">     El riesgo afecta la imagen de la entidad internamente, de conocimiento general, nivel interno, de junta dircetiva y accionistas y/o de provedores</v>
      </c>
      <c r="L30" s="137" t="str">
        <f>IF(OR(K30='[1]Tabla Impacto'!$C$11,K30='[1]Tabla Impacto'!$D$11),"Leve",IF(OR(K30='[1]Tabla Impacto'!$C$12,K30='[1]Tabla Impacto'!$D$12),"Menor",IF(OR(K30='[1]Tabla Impacto'!$C$13,K30='[1]Tabla Impacto'!$D$13),"Moderado",IF(OR(K30='[1]Tabla Impacto'!$C$14,K30='[1]Tabla Impacto'!$D$14),"Mayor",IF(OR(K30='[1]Tabla Impacto'!$C$15,K30='[1]Tabla Impacto'!$D$15),"Catastrófico","")))))</f>
        <v>Menor</v>
      </c>
      <c r="M30" s="140">
        <f t="shared" ref="M30" si="20">IF(L30="","",IF(L30="Leve",0.2,IF(L30="Menor",0.4,IF(L30="Moderado",0.6,IF(L30="Mayor",0.8,IF(L30="Catastrófico",1,))))))</f>
        <v>0.4</v>
      </c>
      <c r="N30" s="146" t="str">
        <f t="shared" ref="N30" si="2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Moderado</v>
      </c>
      <c r="O30" s="106">
        <v>8</v>
      </c>
      <c r="P30" s="124" t="s">
        <v>270</v>
      </c>
      <c r="Q30" s="110" t="str">
        <f t="shared" si="0"/>
        <v>Probabilidad</v>
      </c>
      <c r="R30" s="108" t="s">
        <v>169</v>
      </c>
      <c r="S30" s="108" t="s">
        <v>175</v>
      </c>
      <c r="T30" s="111" t="str">
        <f t="shared" si="6"/>
        <v>30%</v>
      </c>
      <c r="U30" s="121" t="s">
        <v>178</v>
      </c>
      <c r="V30" s="121" t="s">
        <v>183</v>
      </c>
      <c r="W30" s="121" t="s">
        <v>187</v>
      </c>
      <c r="X30" s="112">
        <f t="shared" si="7"/>
        <v>0.42</v>
      </c>
      <c r="Y30" s="113" t="str">
        <f t="shared" si="8"/>
        <v>Media</v>
      </c>
      <c r="Z30" s="111">
        <f t="shared" si="9"/>
        <v>0.42</v>
      </c>
      <c r="AA30" s="113" t="str">
        <f t="shared" si="10"/>
        <v>Menor</v>
      </c>
      <c r="AB30" s="111">
        <f t="shared" si="11"/>
        <v>0.4</v>
      </c>
      <c r="AC30" s="114" t="str">
        <f t="shared" si="12"/>
        <v>Moderado</v>
      </c>
      <c r="AD30" s="128" t="b">
        <f t="shared" ref="AD30" si="22">IFERROR(IF(OR(AND(AC30="Bajo",AC31="Bajo",AC32="Bajo"),AND(AC30="Bajo",AC31="Bajo",AC32=""),AND(AC30="Bajo",AC31="",AC32="")),"Bajo",IF(OR(AND(AC30="Bajo",AC31="Bajo",AC32="Moderado"),AND(AC30="Bajo",AC31="Moderado",AC32="Moderado"),AND(AC30="Moderado",AC31="Moderado",AC32="Moderado"),AND(AC30="Bajo",AC31="Moderado",AC32=""),AND(AC30="Moderado",AC31="Bajo",AC32=""),AND(AC30="Moderado",AC31="Moderado",AC32=""),AND(AC30="Moderado",AC31="",AC32="")),"Moderado",IF(OR(AND(AC30="Bajo",AC31="Bajo",AC32="Alto"),AND(AC30="Bajo",AC31="Moderado",AC32="Alto"),AND(AC30="Moderado",AC31="Bajo",AC32="Alto"),AND(AC30="Moderado",AC31="Alto",AC32="Bajo"),AND(AC30="Moderado",AC31="Moderado",AC32="Alto"),AND(AC30="Alto",AC31="Bajo",AC32="Bajo"),AND(AC30="Alto",AC31="Moderado",AC32="Bajo"),AND(AC30="Alto",AC31="Moderado",AC32="Moderado"),AND(AC30="Alto",AC31="Alto",AC32="Bajo"),AND(AC30="Alto",AC31="Alto",AC32="Moderado"),AND(AC30="Alto",AC31="Alto",AC32="Alto"),AND(AC30="Alto",AC31="Bajo",AC32=""),AND(AC30="Alto",AC31="Moderado",AC32=""),AND(AC30="Alto",AC31="Alto",AC32=""),AND(AC30="Bajo",AC31="Alto",AC32=""),AND(AC30="Moderado",AC31="Alto",AC32=""),AND(AC30="Alto",AC31="",AC32="")),"Alto",IF(OR(AND(AC30="Bajo",AC31="Bajo",AC32="Extremo"),AND(AC30="Bajo",AC31="Moderado",AC32="Extremo"),AND(AC30="Bajo",AC31="Alto",AC32="Extremo"),AND(AC30="Moderado",AC31="Bajo",AC32="Extremo"),AND(AC30="Moderado",AC31="Alto",AC32="Extremo"),AND(AC30="Moderado",AC31="Moderado",AC32="Extremo"),AND(AC30="Alto",AC31="Bajo",AC32="Extremo"),AND(AC30="Alto",AC31="Moderado",AC32="Extremo"),AND(AC30="Alto",AC31="Alto",AC32="Extremo"),AND(AC30="Extremo",AC31="Bajo",AC32="Bajo"),AND(AC30="Extremo",AC31="Bajo",AC32="Moderado"),AND(AC30="Extremo",AC31="Bajo",AC32="Alto"),AND(AC30="Extremo",AC31="Moderado",AC32="Bajo"),AND(AC30="Extremo",AC31="Moderado",AC32="Moderado"),AND(AC30="Extremo",AC31="Moderado",AC32="Alto"),AND(AC30="Extremo",AC31="Alto",AC32="Bajo"),AND(AC30="Extremo",AC31="Alto",AC32="Moderado"),AND(AC30="Extremo",AC31="Alto",AC32="Alto"),AND(AC30="Extremo",AC31="Extremo",AC32="Bajo"),AND(AC30="Extremo",AC31="Extremo",AC32="Moderado"),AND(AC30="Extremo",AC31="Extremo",AC32="Alto"),AND(AC30="Extremo",AC31="Extremo",AC32="Extremo"),AND(AC30="Extremo",AC31="Bajo",AC32=""),AND(AC30="Extremo",AC31="Moderado",AC32=""),AND(AC30="Extremo",AC31="Alto",AC32=""),AND(AC30="Extremo",AC31="",AC32="")),"Extremo")))),"")</f>
        <v>0</v>
      </c>
      <c r="AE30" s="125" t="s">
        <v>192</v>
      </c>
      <c r="AF30" s="107"/>
      <c r="AG30" s="107"/>
      <c r="AH30" s="109"/>
      <c r="AI30" s="109"/>
      <c r="AJ30" s="107"/>
      <c r="AK30" s="106"/>
    </row>
    <row r="31" spans="1:37" ht="86.25" x14ac:dyDescent="0.2">
      <c r="A31" s="135"/>
      <c r="B31" s="132"/>
      <c r="C31" s="132"/>
      <c r="D31" s="132"/>
      <c r="E31" s="132"/>
      <c r="F31" s="132"/>
      <c r="G31" s="135"/>
      <c r="H31" s="138"/>
      <c r="I31" s="141"/>
      <c r="J31" s="144"/>
      <c r="K31" s="141"/>
      <c r="L31" s="138"/>
      <c r="M31" s="141"/>
      <c r="N31" s="147"/>
      <c r="O31" s="106">
        <v>1</v>
      </c>
      <c r="P31" s="124" t="s">
        <v>271</v>
      </c>
      <c r="Q31" s="110" t="str">
        <f t="shared" si="0"/>
        <v>Probabilidad</v>
      </c>
      <c r="R31" s="108" t="s">
        <v>169</v>
      </c>
      <c r="S31" s="108" t="s">
        <v>175</v>
      </c>
      <c r="T31" s="111" t="str">
        <f t="shared" si="6"/>
        <v>30%</v>
      </c>
      <c r="U31" s="121" t="s">
        <v>178</v>
      </c>
      <c r="V31" s="121" t="s">
        <v>183</v>
      </c>
      <c r="W31" s="121" t="s">
        <v>187</v>
      </c>
      <c r="X31" s="112">
        <f t="shared" si="7"/>
        <v>0</v>
      </c>
      <c r="Y31" s="113" t="str">
        <f t="shared" si="8"/>
        <v>Muy Baja</v>
      </c>
      <c r="Z31" s="111">
        <f t="shared" si="9"/>
        <v>0</v>
      </c>
      <c r="AA31" s="113" t="str">
        <f t="shared" si="10"/>
        <v>Leve</v>
      </c>
      <c r="AB31" s="111">
        <f t="shared" si="11"/>
        <v>0</v>
      </c>
      <c r="AC31" s="114" t="str">
        <f t="shared" si="12"/>
        <v>Bajo</v>
      </c>
      <c r="AD31" s="129"/>
      <c r="AE31" s="126"/>
      <c r="AF31" s="107"/>
      <c r="AG31" s="107"/>
      <c r="AH31" s="109"/>
      <c r="AI31" s="109"/>
      <c r="AJ31" s="107"/>
      <c r="AK31" s="106"/>
    </row>
    <row r="32" spans="1:37" ht="86.25" x14ac:dyDescent="0.2">
      <c r="A32" s="135"/>
      <c r="B32" s="132"/>
      <c r="C32" s="132"/>
      <c r="D32" s="132"/>
      <c r="E32" s="132"/>
      <c r="F32" s="132"/>
      <c r="G32" s="135"/>
      <c r="H32" s="138"/>
      <c r="I32" s="141"/>
      <c r="J32" s="144"/>
      <c r="K32" s="141"/>
      <c r="L32" s="138"/>
      <c r="M32" s="141"/>
      <c r="N32" s="147"/>
      <c r="O32" s="106">
        <v>2</v>
      </c>
      <c r="P32" s="124" t="s">
        <v>272</v>
      </c>
      <c r="Q32" s="110" t="str">
        <f t="shared" si="0"/>
        <v>Probabilidad</v>
      </c>
      <c r="R32" s="108" t="s">
        <v>169</v>
      </c>
      <c r="S32" s="108" t="s">
        <v>175</v>
      </c>
      <c r="T32" s="111" t="str">
        <f t="shared" si="6"/>
        <v>30%</v>
      </c>
      <c r="U32" s="121" t="s">
        <v>178</v>
      </c>
      <c r="V32" s="121" t="s">
        <v>183</v>
      </c>
      <c r="W32" s="121" t="s">
        <v>187</v>
      </c>
      <c r="X32" s="112">
        <f t="shared" si="7"/>
        <v>0</v>
      </c>
      <c r="Y32" s="113" t="str">
        <f t="shared" si="8"/>
        <v>Muy Baja</v>
      </c>
      <c r="Z32" s="111">
        <f t="shared" si="9"/>
        <v>0</v>
      </c>
      <c r="AA32" s="113" t="str">
        <f t="shared" si="10"/>
        <v>Leve</v>
      </c>
      <c r="AB32" s="111">
        <f t="shared" si="11"/>
        <v>0</v>
      </c>
      <c r="AC32" s="114" t="str">
        <f t="shared" si="12"/>
        <v>Bajo</v>
      </c>
      <c r="AD32" s="129"/>
      <c r="AE32" s="127"/>
      <c r="AF32" s="107"/>
      <c r="AG32" s="107"/>
      <c r="AH32" s="109"/>
      <c r="AI32" s="109"/>
      <c r="AJ32" s="107"/>
      <c r="AK32" s="106"/>
    </row>
    <row r="33" spans="1:37" ht="86.25" x14ac:dyDescent="0.2">
      <c r="A33" s="135"/>
      <c r="B33" s="132"/>
      <c r="C33" s="132"/>
      <c r="D33" s="132"/>
      <c r="E33" s="132"/>
      <c r="F33" s="132"/>
      <c r="G33" s="135"/>
      <c r="H33" s="138"/>
      <c r="I33" s="141"/>
      <c r="J33" s="144"/>
      <c r="K33" s="141"/>
      <c r="L33" s="138"/>
      <c r="M33" s="141"/>
      <c r="N33" s="147"/>
      <c r="O33" s="106">
        <v>3</v>
      </c>
      <c r="P33" s="124" t="s">
        <v>273</v>
      </c>
      <c r="Q33" s="110" t="str">
        <f t="shared" si="0"/>
        <v>Probabilidad</v>
      </c>
      <c r="R33" s="108" t="s">
        <v>169</v>
      </c>
      <c r="S33" s="108" t="s">
        <v>175</v>
      </c>
      <c r="T33" s="111" t="str">
        <f t="shared" si="6"/>
        <v>30%</v>
      </c>
      <c r="U33" s="121" t="s">
        <v>178</v>
      </c>
      <c r="V33" s="121" t="s">
        <v>183</v>
      </c>
      <c r="W33" s="121" t="s">
        <v>187</v>
      </c>
      <c r="X33" s="112">
        <f t="shared" si="7"/>
        <v>0</v>
      </c>
      <c r="Y33" s="113" t="str">
        <f t="shared" si="8"/>
        <v>Muy Baja</v>
      </c>
      <c r="Z33" s="111">
        <f t="shared" si="9"/>
        <v>0</v>
      </c>
      <c r="AA33" s="113" t="str">
        <f t="shared" si="10"/>
        <v>Leve</v>
      </c>
      <c r="AB33" s="111">
        <f t="shared" si="11"/>
        <v>0</v>
      </c>
      <c r="AC33" s="114" t="str">
        <f t="shared" si="12"/>
        <v>Bajo</v>
      </c>
      <c r="AD33" s="129"/>
      <c r="AE33" s="108" t="s">
        <v>192</v>
      </c>
      <c r="AF33" s="107"/>
      <c r="AG33" s="107"/>
      <c r="AH33" s="109"/>
      <c r="AI33" s="109"/>
      <c r="AJ33" s="107"/>
      <c r="AK33" s="106"/>
    </row>
    <row r="34" spans="1:37" ht="86.25" x14ac:dyDescent="0.2">
      <c r="A34" s="135"/>
      <c r="B34" s="132"/>
      <c r="C34" s="132"/>
      <c r="D34" s="132"/>
      <c r="E34" s="132"/>
      <c r="F34" s="132"/>
      <c r="G34" s="135"/>
      <c r="H34" s="138"/>
      <c r="I34" s="141"/>
      <c r="J34" s="144"/>
      <c r="K34" s="141"/>
      <c r="L34" s="138"/>
      <c r="M34" s="141"/>
      <c r="N34" s="147"/>
      <c r="O34" s="106">
        <v>4</v>
      </c>
      <c r="P34" s="124" t="s">
        <v>274</v>
      </c>
      <c r="Q34" s="110" t="str">
        <f t="shared" si="0"/>
        <v>Probabilidad</v>
      </c>
      <c r="R34" s="108" t="s">
        <v>169</v>
      </c>
      <c r="S34" s="108" t="s">
        <v>175</v>
      </c>
      <c r="T34" s="111" t="str">
        <f t="shared" si="6"/>
        <v>30%</v>
      </c>
      <c r="U34" s="121" t="s">
        <v>178</v>
      </c>
      <c r="V34" s="121" t="s">
        <v>183</v>
      </c>
      <c r="W34" s="121" t="s">
        <v>187</v>
      </c>
      <c r="X34" s="112">
        <f t="shared" si="7"/>
        <v>0</v>
      </c>
      <c r="Y34" s="113" t="str">
        <f t="shared" si="8"/>
        <v>Muy Baja</v>
      </c>
      <c r="Z34" s="111">
        <f t="shared" si="9"/>
        <v>0</v>
      </c>
      <c r="AA34" s="113" t="str">
        <f t="shared" si="10"/>
        <v>Leve</v>
      </c>
      <c r="AB34" s="111">
        <f t="shared" si="11"/>
        <v>0</v>
      </c>
      <c r="AC34" s="114" t="str">
        <f t="shared" si="12"/>
        <v>Bajo</v>
      </c>
      <c r="AD34" s="129"/>
      <c r="AE34" s="108" t="s">
        <v>192</v>
      </c>
      <c r="AF34" s="107"/>
      <c r="AG34" s="107"/>
      <c r="AH34" s="109"/>
      <c r="AI34" s="109"/>
      <c r="AJ34" s="107"/>
      <c r="AK34" s="106"/>
    </row>
    <row r="35" spans="1:37" ht="86.25" x14ac:dyDescent="0.2">
      <c r="A35" s="135"/>
      <c r="B35" s="132"/>
      <c r="C35" s="132"/>
      <c r="D35" s="132"/>
      <c r="E35" s="132"/>
      <c r="F35" s="132"/>
      <c r="G35" s="135"/>
      <c r="H35" s="138"/>
      <c r="I35" s="141"/>
      <c r="J35" s="144"/>
      <c r="K35" s="141"/>
      <c r="L35" s="138"/>
      <c r="M35" s="141"/>
      <c r="N35" s="147"/>
      <c r="O35" s="106">
        <v>5</v>
      </c>
      <c r="P35" s="124" t="s">
        <v>275</v>
      </c>
      <c r="Q35" s="110" t="str">
        <f t="shared" si="0"/>
        <v>Probabilidad</v>
      </c>
      <c r="R35" s="108" t="s">
        <v>169</v>
      </c>
      <c r="S35" s="108" t="s">
        <v>175</v>
      </c>
      <c r="T35" s="111" t="str">
        <f t="shared" si="6"/>
        <v>30%</v>
      </c>
      <c r="U35" s="121" t="s">
        <v>178</v>
      </c>
      <c r="V35" s="121" t="s">
        <v>183</v>
      </c>
      <c r="W35" s="121" t="s">
        <v>187</v>
      </c>
      <c r="X35" s="112">
        <f t="shared" si="7"/>
        <v>0</v>
      </c>
      <c r="Y35" s="113" t="str">
        <f t="shared" si="8"/>
        <v>Muy Baja</v>
      </c>
      <c r="Z35" s="111">
        <f t="shared" si="9"/>
        <v>0</v>
      </c>
      <c r="AA35" s="113" t="str">
        <f t="shared" si="10"/>
        <v>Leve</v>
      </c>
      <c r="AB35" s="111">
        <f t="shared" si="11"/>
        <v>0</v>
      </c>
      <c r="AC35" s="114" t="str">
        <f t="shared" si="12"/>
        <v>Bajo</v>
      </c>
      <c r="AD35" s="129"/>
      <c r="AE35" s="108" t="s">
        <v>192</v>
      </c>
      <c r="AF35" s="107"/>
      <c r="AG35" s="107"/>
      <c r="AH35" s="109"/>
      <c r="AI35" s="109"/>
      <c r="AJ35" s="107"/>
      <c r="AK35" s="106"/>
    </row>
    <row r="36" spans="1:37" x14ac:dyDescent="0.2">
      <c r="A36" s="136"/>
      <c r="B36" s="133"/>
      <c r="C36" s="133"/>
      <c r="D36" s="133"/>
      <c r="E36" s="133"/>
      <c r="F36" s="133"/>
      <c r="G36" s="136"/>
      <c r="H36" s="139"/>
      <c r="I36" s="142"/>
      <c r="J36" s="145"/>
      <c r="K36" s="142"/>
      <c r="L36" s="139"/>
      <c r="M36" s="142"/>
      <c r="N36" s="148"/>
      <c r="O36" s="106">
        <v>6</v>
      </c>
      <c r="P36" s="120"/>
      <c r="Q36" s="110" t="str">
        <f t="shared" si="0"/>
        <v/>
      </c>
      <c r="R36" s="108"/>
      <c r="S36" s="108"/>
      <c r="T36" s="111" t="str">
        <f t="shared" si="6"/>
        <v/>
      </c>
      <c r="U36" s="121"/>
      <c r="V36" s="121"/>
      <c r="W36" s="121"/>
      <c r="X36" s="112" t="str">
        <f t="shared" si="7"/>
        <v/>
      </c>
      <c r="Y36" s="113" t="str">
        <f t="shared" si="8"/>
        <v/>
      </c>
      <c r="Z36" s="111" t="str">
        <f t="shared" si="9"/>
        <v/>
      </c>
      <c r="AA36" s="113" t="str">
        <f t="shared" si="10"/>
        <v/>
      </c>
      <c r="AB36" s="111" t="str">
        <f t="shared" si="11"/>
        <v/>
      </c>
      <c r="AC36" s="114" t="str">
        <f t="shared" si="12"/>
        <v/>
      </c>
      <c r="AD36" s="130"/>
      <c r="AE36" s="108"/>
      <c r="AF36" s="107"/>
      <c r="AG36" s="107"/>
      <c r="AH36" s="109"/>
      <c r="AI36" s="109"/>
      <c r="AJ36" s="107"/>
      <c r="AK36" s="106"/>
    </row>
    <row r="37" spans="1:37" ht="86.25" x14ac:dyDescent="0.2">
      <c r="A37" s="134">
        <v>4</v>
      </c>
      <c r="B37" s="131" t="s">
        <v>197</v>
      </c>
      <c r="C37" s="131" t="s">
        <v>253</v>
      </c>
      <c r="D37" s="131" t="s">
        <v>254</v>
      </c>
      <c r="E37" s="131" t="s">
        <v>255</v>
      </c>
      <c r="F37" s="131" t="s">
        <v>203</v>
      </c>
      <c r="G37" s="134">
        <v>3500</v>
      </c>
      <c r="H37" s="137" t="str">
        <f t="shared" ref="H37" si="23">IF(G37&lt;=0,"",IF(G37&lt;=2,"Muy Baja",IF(G37&lt;=24,"Baja",IF(G37&lt;=500,"Media",IF(G37&lt;=5000,"Alta","Muy Alta")))))</f>
        <v>Alta</v>
      </c>
      <c r="I37" s="140">
        <f t="shared" ref="I37" si="24">IF(H37="","",IF(H37="Muy Baja",0.2,IF(H37="Baja",0.4,IF(H37="Media",0.6,IF(H37="Alta",0.8,IF(H37="Muy Alta",1,))))))</f>
        <v>0.8</v>
      </c>
      <c r="J37" s="143" t="s">
        <v>149</v>
      </c>
      <c r="K37" s="140" t="str">
        <f>IF(NOT(ISERROR(MATCH(J37,'[1]Tabla Impacto'!$B$221:$B$223,0))),'[1]Tabla Impacto'!$F$223&amp;"Por favor no seleccionar los criterios de impacto(Afectación Económica o presupuestal y Pérdida Reputacional)",J37)</f>
        <v xml:space="preserve">     El riesgo afecta la imagen de la entidad internamente, de conocimiento general, nivel interno, de junta dircetiva y accionistas y/o de provedores</v>
      </c>
      <c r="L37" s="137" t="str">
        <f>IF(OR(K37='[1]Tabla Impacto'!$C$11,K37='[1]Tabla Impacto'!$D$11),"Leve",IF(OR(K37='[1]Tabla Impacto'!$C$12,K37='[1]Tabla Impacto'!$D$12),"Menor",IF(OR(K37='[1]Tabla Impacto'!$C$13,K37='[1]Tabla Impacto'!$D$13),"Moderado",IF(OR(K37='[1]Tabla Impacto'!$C$14,K37='[1]Tabla Impacto'!$D$14),"Mayor",IF(OR(K37='[1]Tabla Impacto'!$C$15,K37='[1]Tabla Impacto'!$D$15),"Catastrófico","")))))</f>
        <v>Menor</v>
      </c>
      <c r="M37" s="140">
        <f t="shared" ref="M37" si="25">IF(L37="","",IF(L37="Leve",0.2,IF(L37="Menor",0.4,IF(L37="Moderado",0.6,IF(L37="Mayor",0.8,IF(L37="Catastrófico",1,))))))</f>
        <v>0.4</v>
      </c>
      <c r="N37" s="146" t="str">
        <f t="shared" ref="N37" si="26">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Moderado</v>
      </c>
      <c r="O37" s="106">
        <v>1</v>
      </c>
      <c r="P37" s="124" t="s">
        <v>276</v>
      </c>
      <c r="Q37" s="110" t="str">
        <f t="shared" si="0"/>
        <v>Probabilidad</v>
      </c>
      <c r="R37" s="108" t="s">
        <v>169</v>
      </c>
      <c r="S37" s="108" t="s">
        <v>175</v>
      </c>
      <c r="T37" s="111" t="str">
        <f t="shared" si="6"/>
        <v>30%</v>
      </c>
      <c r="U37" s="121" t="s">
        <v>178</v>
      </c>
      <c r="V37" s="121" t="s">
        <v>183</v>
      </c>
      <c r="W37" s="121" t="s">
        <v>187</v>
      </c>
      <c r="X37" s="112">
        <f t="shared" si="7"/>
        <v>0.56000000000000005</v>
      </c>
      <c r="Y37" s="113" t="str">
        <f t="shared" si="8"/>
        <v>Media</v>
      </c>
      <c r="Z37" s="111">
        <f t="shared" si="9"/>
        <v>0.56000000000000005</v>
      </c>
      <c r="AA37" s="113" t="str">
        <f t="shared" si="10"/>
        <v>Menor</v>
      </c>
      <c r="AB37" s="111">
        <f t="shared" si="11"/>
        <v>0.4</v>
      </c>
      <c r="AC37" s="114" t="str">
        <f t="shared" si="12"/>
        <v>Moderado</v>
      </c>
      <c r="AD37" s="128" t="b">
        <f t="shared" ref="AD37" si="27">IFERROR(IF(OR(AND(AC37="Bajo",AC38="Bajo",AC39="Bajo"),AND(AC37="Bajo",AC38="Bajo",AC39=""),AND(AC37="Bajo",AC38="",AC39="")),"Bajo",IF(OR(AND(AC37="Bajo",AC38="Bajo",AC39="Moderado"),AND(AC37="Bajo",AC38="Moderado",AC39="Moderado"),AND(AC37="Moderado",AC38="Moderado",AC39="Moderado"),AND(AC37="Bajo",AC38="Moderado",AC39=""),AND(AC37="Moderado",AC38="Bajo",AC39=""),AND(AC37="Moderado",AC38="Moderado",AC39=""),AND(AC37="Moderado",AC38="",AC39="")),"Moderado",IF(OR(AND(AC37="Bajo",AC38="Bajo",AC39="Alto"),AND(AC37="Bajo",AC38="Moderado",AC39="Alto"),AND(AC37="Moderado",AC38="Bajo",AC39="Alto"),AND(AC37="Moderado",AC38="Alto",AC39="Bajo"),AND(AC37="Moderado",AC38="Moderado",AC39="Alto"),AND(AC37="Alto",AC38="Bajo",AC39="Bajo"),AND(AC37="Alto",AC38="Moderado",AC39="Bajo"),AND(AC37="Alto",AC38="Moderado",AC39="Moderado"),AND(AC37="Alto",AC38="Alto",AC39="Bajo"),AND(AC37="Alto",AC38="Alto",AC39="Moderado"),AND(AC37="Alto",AC38="Alto",AC39="Alto"),AND(AC37="Alto",AC38="Bajo",AC39=""),AND(AC37="Alto",AC38="Moderado",AC39=""),AND(AC37="Alto",AC38="Alto",AC39=""),AND(AC37="Bajo",AC38="Alto",AC39=""),AND(AC37="Moderado",AC38="Alto",AC39=""),AND(AC37="Alto",AC38="",AC39="")),"Alto",IF(OR(AND(AC37="Bajo",AC38="Bajo",AC39="Extremo"),AND(AC37="Bajo",AC38="Moderado",AC39="Extremo"),AND(AC37="Bajo",AC38="Alto",AC39="Extremo"),AND(AC37="Moderado",AC38="Bajo",AC39="Extremo"),AND(AC37="Moderado",AC38="Alto",AC39="Extremo"),AND(AC37="Moderado",AC38="Moderado",AC39="Extremo"),AND(AC37="Alto",AC38="Bajo",AC39="Extremo"),AND(AC37="Alto",AC38="Moderado",AC39="Extremo"),AND(AC37="Alto",AC38="Alto",AC39="Extremo"),AND(AC37="Extremo",AC38="Bajo",AC39="Bajo"),AND(AC37="Extremo",AC38="Bajo",AC39="Moderado"),AND(AC37="Extremo",AC38="Bajo",AC39="Alto"),AND(AC37="Extremo",AC38="Moderado",AC39="Bajo"),AND(AC37="Extremo",AC38="Moderado",AC39="Moderado"),AND(AC37="Extremo",AC38="Moderado",AC39="Alto"),AND(AC37="Extremo",AC38="Alto",AC39="Bajo"),AND(AC37="Extremo",AC38="Alto",AC39="Moderado"),AND(AC37="Extremo",AC38="Alto",AC39="Alto"),AND(AC37="Extremo",AC38="Extremo",AC39="Bajo"),AND(AC37="Extremo",AC38="Extremo",AC39="Moderado"),AND(AC37="Extremo",AC38="Extremo",AC39="Alto"),AND(AC37="Extremo",AC38="Extremo",AC39="Extremo"),AND(AC37="Extremo",AC38="Bajo",AC39=""),AND(AC37="Extremo",AC38="Moderado",AC39=""),AND(AC37="Extremo",AC38="Alto",AC39=""),AND(AC37="Extremo",AC38="",AC39="")),"Extremo")))),"")</f>
        <v>0</v>
      </c>
      <c r="AE37" s="125" t="s">
        <v>192</v>
      </c>
      <c r="AF37" s="107"/>
      <c r="AG37" s="107"/>
      <c r="AH37" s="109"/>
      <c r="AI37" s="109"/>
      <c r="AJ37" s="107"/>
      <c r="AK37" s="106"/>
    </row>
    <row r="38" spans="1:37" ht="86.25" x14ac:dyDescent="0.2">
      <c r="A38" s="135"/>
      <c r="B38" s="132"/>
      <c r="C38" s="132"/>
      <c r="D38" s="132"/>
      <c r="E38" s="132"/>
      <c r="F38" s="132"/>
      <c r="G38" s="135"/>
      <c r="H38" s="138"/>
      <c r="I38" s="141"/>
      <c r="J38" s="144"/>
      <c r="K38" s="141"/>
      <c r="L38" s="138"/>
      <c r="M38" s="141"/>
      <c r="N38" s="147"/>
      <c r="O38" s="106">
        <v>2</v>
      </c>
      <c r="P38" s="124" t="s">
        <v>277</v>
      </c>
      <c r="Q38" s="110" t="str">
        <f t="shared" si="0"/>
        <v>Probabilidad</v>
      </c>
      <c r="R38" s="108" t="s">
        <v>169</v>
      </c>
      <c r="S38" s="108" t="s">
        <v>175</v>
      </c>
      <c r="T38" s="111" t="str">
        <f t="shared" si="6"/>
        <v>30%</v>
      </c>
      <c r="U38" s="121" t="s">
        <v>178</v>
      </c>
      <c r="V38" s="121" t="s">
        <v>183</v>
      </c>
      <c r="W38" s="121" t="s">
        <v>187</v>
      </c>
      <c r="X38" s="112">
        <f t="shared" si="7"/>
        <v>0</v>
      </c>
      <c r="Y38" s="113" t="str">
        <f t="shared" si="8"/>
        <v>Muy Baja</v>
      </c>
      <c r="Z38" s="111">
        <f t="shared" si="9"/>
        <v>0</v>
      </c>
      <c r="AA38" s="113" t="str">
        <f t="shared" si="10"/>
        <v>Leve</v>
      </c>
      <c r="AB38" s="111">
        <f t="shared" si="11"/>
        <v>0</v>
      </c>
      <c r="AC38" s="114" t="str">
        <f t="shared" si="12"/>
        <v>Bajo</v>
      </c>
      <c r="AD38" s="129"/>
      <c r="AE38" s="126"/>
      <c r="AF38" s="107"/>
      <c r="AG38" s="107"/>
      <c r="AH38" s="109"/>
      <c r="AI38" s="109"/>
      <c r="AJ38" s="107"/>
      <c r="AK38" s="106"/>
    </row>
    <row r="39" spans="1:37" ht="86.25" x14ac:dyDescent="0.2">
      <c r="A39" s="135"/>
      <c r="B39" s="132"/>
      <c r="C39" s="132"/>
      <c r="D39" s="132"/>
      <c r="E39" s="132"/>
      <c r="F39" s="132"/>
      <c r="G39" s="135"/>
      <c r="H39" s="138"/>
      <c r="I39" s="141"/>
      <c r="J39" s="144"/>
      <c r="K39" s="141"/>
      <c r="L39" s="138"/>
      <c r="M39" s="141"/>
      <c r="N39" s="147"/>
      <c r="O39" s="106">
        <v>3</v>
      </c>
      <c r="P39" s="124" t="s">
        <v>278</v>
      </c>
      <c r="Q39" s="110" t="str">
        <f t="shared" si="0"/>
        <v>Probabilidad</v>
      </c>
      <c r="R39" s="108" t="s">
        <v>169</v>
      </c>
      <c r="S39" s="108" t="s">
        <v>175</v>
      </c>
      <c r="T39" s="111" t="str">
        <f t="shared" si="6"/>
        <v>30%</v>
      </c>
      <c r="U39" s="121" t="s">
        <v>178</v>
      </c>
      <c r="V39" s="121" t="s">
        <v>183</v>
      </c>
      <c r="W39" s="121" t="s">
        <v>187</v>
      </c>
      <c r="X39" s="112">
        <f t="shared" si="7"/>
        <v>0</v>
      </c>
      <c r="Y39" s="113" t="str">
        <f t="shared" si="8"/>
        <v>Muy Baja</v>
      </c>
      <c r="Z39" s="111">
        <f t="shared" si="9"/>
        <v>0</v>
      </c>
      <c r="AA39" s="113" t="str">
        <f t="shared" si="10"/>
        <v>Leve</v>
      </c>
      <c r="AB39" s="111">
        <f t="shared" si="11"/>
        <v>0</v>
      </c>
      <c r="AC39" s="114" t="str">
        <f t="shared" si="12"/>
        <v>Bajo</v>
      </c>
      <c r="AD39" s="129"/>
      <c r="AE39" s="127"/>
      <c r="AF39" s="107"/>
      <c r="AG39" s="107"/>
      <c r="AH39" s="109"/>
      <c r="AI39" s="109"/>
      <c r="AJ39" s="107"/>
      <c r="AK39" s="106"/>
    </row>
    <row r="40" spans="1:37" ht="16.5" customHeight="1" x14ac:dyDescent="0.2">
      <c r="A40" s="135"/>
      <c r="B40" s="132"/>
      <c r="C40" s="132"/>
      <c r="D40" s="132"/>
      <c r="E40" s="132"/>
      <c r="F40" s="132"/>
      <c r="G40" s="135"/>
      <c r="H40" s="138"/>
      <c r="I40" s="141"/>
      <c r="J40" s="144"/>
      <c r="K40" s="141"/>
      <c r="L40" s="138"/>
      <c r="M40" s="141"/>
      <c r="N40" s="147"/>
      <c r="O40" s="106">
        <v>4</v>
      </c>
      <c r="P40" s="120"/>
      <c r="Q40" s="110" t="str">
        <f t="shared" si="0"/>
        <v/>
      </c>
      <c r="R40" s="108"/>
      <c r="S40" s="108"/>
      <c r="T40" s="111" t="str">
        <f t="shared" si="6"/>
        <v/>
      </c>
      <c r="U40" s="121"/>
      <c r="V40" s="121"/>
      <c r="W40" s="121"/>
      <c r="X40" s="112" t="str">
        <f t="shared" si="7"/>
        <v/>
      </c>
      <c r="Y40" s="113" t="str">
        <f t="shared" si="8"/>
        <v/>
      </c>
      <c r="Z40" s="111" t="str">
        <f t="shared" si="9"/>
        <v/>
      </c>
      <c r="AA40" s="113" t="str">
        <f t="shared" si="10"/>
        <v/>
      </c>
      <c r="AB40" s="111" t="str">
        <f t="shared" si="11"/>
        <v/>
      </c>
      <c r="AC40" s="114" t="str">
        <f t="shared" si="12"/>
        <v/>
      </c>
      <c r="AD40" s="129"/>
      <c r="AE40" s="108"/>
      <c r="AF40" s="107"/>
      <c r="AG40" s="107"/>
      <c r="AH40" s="109"/>
      <c r="AI40" s="109"/>
      <c r="AJ40" s="107"/>
      <c r="AK40" s="106"/>
    </row>
    <row r="41" spans="1:37" ht="16.5" customHeight="1" x14ac:dyDescent="0.2">
      <c r="A41" s="135"/>
      <c r="B41" s="132"/>
      <c r="C41" s="132"/>
      <c r="D41" s="132"/>
      <c r="E41" s="132"/>
      <c r="F41" s="132"/>
      <c r="G41" s="135"/>
      <c r="H41" s="138"/>
      <c r="I41" s="141"/>
      <c r="J41" s="144"/>
      <c r="K41" s="141"/>
      <c r="L41" s="138"/>
      <c r="M41" s="141"/>
      <c r="N41" s="147"/>
      <c r="O41" s="106">
        <v>5</v>
      </c>
      <c r="P41" s="120"/>
      <c r="Q41" s="110" t="str">
        <f t="shared" si="0"/>
        <v/>
      </c>
      <c r="R41" s="108"/>
      <c r="S41" s="108"/>
      <c r="T41" s="111" t="str">
        <f t="shared" si="6"/>
        <v/>
      </c>
      <c r="U41" s="121"/>
      <c r="V41" s="121"/>
      <c r="W41" s="121"/>
      <c r="X41" s="112" t="str">
        <f t="shared" si="7"/>
        <v/>
      </c>
      <c r="Y41" s="113" t="str">
        <f t="shared" si="8"/>
        <v/>
      </c>
      <c r="Z41" s="111" t="str">
        <f t="shared" si="9"/>
        <v/>
      </c>
      <c r="AA41" s="113" t="str">
        <f t="shared" si="10"/>
        <v/>
      </c>
      <c r="AB41" s="111" t="str">
        <f t="shared" si="11"/>
        <v/>
      </c>
      <c r="AC41" s="114" t="str">
        <f t="shared" si="12"/>
        <v/>
      </c>
      <c r="AD41" s="129"/>
      <c r="AE41" s="108"/>
      <c r="AF41" s="107"/>
      <c r="AG41" s="107"/>
      <c r="AH41" s="109"/>
      <c r="AI41" s="109"/>
      <c r="AJ41" s="107"/>
      <c r="AK41" s="106"/>
    </row>
    <row r="42" spans="1:37" ht="16.5" customHeight="1" x14ac:dyDescent="0.2">
      <c r="A42" s="135"/>
      <c r="B42" s="132"/>
      <c r="C42" s="132"/>
      <c r="D42" s="132"/>
      <c r="E42" s="132"/>
      <c r="F42" s="132"/>
      <c r="G42" s="135"/>
      <c r="H42" s="138"/>
      <c r="I42" s="141"/>
      <c r="J42" s="144"/>
      <c r="K42" s="141"/>
      <c r="L42" s="138"/>
      <c r="M42" s="141"/>
      <c r="N42" s="147"/>
      <c r="O42" s="106">
        <v>6</v>
      </c>
      <c r="P42" s="120"/>
      <c r="Q42" s="110" t="str">
        <f t="shared" si="0"/>
        <v/>
      </c>
      <c r="R42" s="108"/>
      <c r="S42" s="108"/>
      <c r="T42" s="111" t="str">
        <f t="shared" si="6"/>
        <v/>
      </c>
      <c r="U42" s="121"/>
      <c r="V42" s="121"/>
      <c r="W42" s="121"/>
      <c r="X42" s="112" t="str">
        <f t="shared" si="7"/>
        <v/>
      </c>
      <c r="Y42" s="113" t="str">
        <f t="shared" si="8"/>
        <v/>
      </c>
      <c r="Z42" s="111" t="str">
        <f t="shared" si="9"/>
        <v/>
      </c>
      <c r="AA42" s="113" t="str">
        <f t="shared" si="10"/>
        <v/>
      </c>
      <c r="AB42" s="111" t="str">
        <f t="shared" si="11"/>
        <v/>
      </c>
      <c r="AC42" s="114" t="str">
        <f t="shared" si="12"/>
        <v/>
      </c>
      <c r="AD42" s="129"/>
      <c r="AE42" s="108"/>
      <c r="AF42" s="107"/>
      <c r="AG42" s="107"/>
      <c r="AH42" s="109"/>
      <c r="AI42" s="109"/>
      <c r="AJ42" s="107"/>
      <c r="AK42" s="106"/>
    </row>
    <row r="43" spans="1:37" ht="16.5" customHeight="1" x14ac:dyDescent="0.2">
      <c r="A43" s="136"/>
      <c r="B43" s="133"/>
      <c r="C43" s="133"/>
      <c r="D43" s="133"/>
      <c r="E43" s="133"/>
      <c r="F43" s="133"/>
      <c r="G43" s="136"/>
      <c r="H43" s="139"/>
      <c r="I43" s="142"/>
      <c r="J43" s="145"/>
      <c r="K43" s="142"/>
      <c r="L43" s="139"/>
      <c r="M43" s="142"/>
      <c r="N43" s="148"/>
      <c r="O43" s="106">
        <v>7</v>
      </c>
      <c r="P43" s="120"/>
      <c r="Q43" s="110" t="str">
        <f t="shared" si="0"/>
        <v/>
      </c>
      <c r="R43" s="108"/>
      <c r="S43" s="108"/>
      <c r="T43" s="111" t="str">
        <f t="shared" si="6"/>
        <v/>
      </c>
      <c r="U43" s="121"/>
      <c r="V43" s="121"/>
      <c r="W43" s="121"/>
      <c r="X43" s="112" t="str">
        <f t="shared" si="7"/>
        <v/>
      </c>
      <c r="Y43" s="113" t="str">
        <f t="shared" si="8"/>
        <v/>
      </c>
      <c r="Z43" s="111" t="str">
        <f t="shared" si="9"/>
        <v/>
      </c>
      <c r="AA43" s="113" t="str">
        <f t="shared" si="10"/>
        <v/>
      </c>
      <c r="AB43" s="111" t="str">
        <f t="shared" si="11"/>
        <v/>
      </c>
      <c r="AC43" s="114" t="str">
        <f t="shared" si="12"/>
        <v/>
      </c>
      <c r="AD43" s="130"/>
      <c r="AE43" s="108"/>
      <c r="AF43" s="107"/>
      <c r="AG43" s="107"/>
      <c r="AH43" s="109"/>
      <c r="AI43" s="109"/>
      <c r="AJ43" s="107"/>
      <c r="AK43" s="106"/>
    </row>
    <row r="44" spans="1:37" ht="72" customHeight="1" x14ac:dyDescent="0.2">
      <c r="A44" s="134">
        <v>5</v>
      </c>
      <c r="B44" s="131" t="s">
        <v>197</v>
      </c>
      <c r="C44" s="131" t="s">
        <v>258</v>
      </c>
      <c r="D44" s="131" t="s">
        <v>256</v>
      </c>
      <c r="E44" s="131" t="s">
        <v>257</v>
      </c>
      <c r="F44" s="131" t="s">
        <v>203</v>
      </c>
      <c r="G44" s="134">
        <v>24</v>
      </c>
      <c r="H44" s="137" t="str">
        <f t="shared" ref="H44" si="28">IF(G44&lt;=0,"",IF(G44&lt;=2,"Muy Baja",IF(G44&lt;=24,"Baja",IF(G44&lt;=500,"Media",IF(G44&lt;=5000,"Alta","Muy Alta")))))</f>
        <v>Baja</v>
      </c>
      <c r="I44" s="140">
        <f t="shared" ref="I44" si="29">IF(H44="","",IF(H44="Muy Baja",0.2,IF(H44="Baja",0.4,IF(H44="Media",0.6,IF(H44="Alta",0.8,IF(H44="Muy Alta",1,))))))</f>
        <v>0.4</v>
      </c>
      <c r="J44" s="143" t="s">
        <v>149</v>
      </c>
      <c r="K44" s="140" t="str">
        <f>IF(NOT(ISERROR(MATCH(J44,'[1]Tabla Impacto'!$B$221:$B$223,0))),'[1]Tabla Impacto'!$F$223&amp;"Por favor no seleccionar los criterios de impacto(Afectación Económica o presupuestal y Pérdida Reputacional)",J44)</f>
        <v xml:space="preserve">     El riesgo afecta la imagen de la entidad internamente, de conocimiento general, nivel interno, de junta dircetiva y accionistas y/o de provedores</v>
      </c>
      <c r="L44" s="137" t="str">
        <f>IF(OR(K44='[1]Tabla Impacto'!$C$11,K44='[1]Tabla Impacto'!$D$11),"Leve",IF(OR(K44='[1]Tabla Impacto'!$C$12,K44='[1]Tabla Impacto'!$D$12),"Menor",IF(OR(K44='[1]Tabla Impacto'!$C$13,K44='[1]Tabla Impacto'!$D$13),"Moderado",IF(OR(K44='[1]Tabla Impacto'!$C$14,K44='[1]Tabla Impacto'!$D$14),"Mayor",IF(OR(K44='[1]Tabla Impacto'!$C$15,K44='[1]Tabla Impacto'!$D$15),"Catastrófico","")))))</f>
        <v>Menor</v>
      </c>
      <c r="M44" s="140">
        <f t="shared" ref="M44" si="30">IF(L44="","",IF(L44="Leve",0.2,IF(L44="Menor",0.4,IF(L44="Moderado",0.6,IF(L44="Mayor",0.8,IF(L44="Catastrófico",1,))))))</f>
        <v>0.4</v>
      </c>
      <c r="N44" s="146" t="str">
        <f t="shared" ref="N44" si="3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Moderado</v>
      </c>
      <c r="O44" s="106">
        <v>1</v>
      </c>
      <c r="P44" s="124" t="s">
        <v>279</v>
      </c>
      <c r="Q44" s="110" t="str">
        <f t="shared" si="0"/>
        <v>Probabilidad</v>
      </c>
      <c r="R44" s="108" t="s">
        <v>169</v>
      </c>
      <c r="S44" s="108" t="s">
        <v>175</v>
      </c>
      <c r="T44" s="111" t="str">
        <f t="shared" si="6"/>
        <v>30%</v>
      </c>
      <c r="U44" s="121" t="s">
        <v>178</v>
      </c>
      <c r="V44" s="121" t="s">
        <v>183</v>
      </c>
      <c r="W44" s="121" t="s">
        <v>187</v>
      </c>
      <c r="X44" s="112">
        <f t="shared" si="7"/>
        <v>0.28000000000000003</v>
      </c>
      <c r="Y44" s="113" t="str">
        <f t="shared" si="8"/>
        <v>Baja</v>
      </c>
      <c r="Z44" s="111">
        <f t="shared" si="9"/>
        <v>0.28000000000000003</v>
      </c>
      <c r="AA44" s="113" t="str">
        <f t="shared" si="10"/>
        <v>Menor</v>
      </c>
      <c r="AB44" s="111">
        <f t="shared" si="11"/>
        <v>0.4</v>
      </c>
      <c r="AC44" s="114" t="str">
        <f t="shared" si="12"/>
        <v>Moderado</v>
      </c>
      <c r="AD44" s="128" t="str">
        <f t="shared" ref="AD44" si="32">IFERROR(IF(OR(AND(AC44="Bajo",AC45="Bajo",AC46="Bajo"),AND(AC44="Bajo",AC45="Bajo",AC46=""),AND(AC44="Bajo",AC45="",AC46="")),"Bajo",IF(OR(AND(AC44="Bajo",AC45="Bajo",AC46="Moderado"),AND(AC44="Bajo",AC45="Moderado",AC46="Moderado"),AND(AC44="Moderado",AC45="Moderado",AC46="Moderado"),AND(AC44="Bajo",AC45="Moderado",AC46=""),AND(AC44="Moderado",AC45="Bajo",AC46=""),AND(AC44="Moderado",AC45="Moderado",AC46=""),AND(AC44="Moderado",AC45="",AC46="")),"Moderado",IF(OR(AND(AC44="Bajo",AC45="Bajo",AC46="Alto"),AND(AC44="Bajo",AC45="Moderado",AC46="Alto"),AND(AC44="Moderado",AC45="Bajo",AC46="Alto"),AND(AC44="Moderado",AC45="Alto",AC46="Bajo"),AND(AC44="Moderado",AC45="Moderado",AC46="Alto"),AND(AC44="Alto",AC45="Bajo",AC46="Bajo"),AND(AC44="Alto",AC45="Moderado",AC46="Bajo"),AND(AC44="Alto",AC45="Moderado",AC46="Moderado"),AND(AC44="Alto",AC45="Alto",AC46="Bajo"),AND(AC44="Alto",AC45="Alto",AC46="Moderado"),AND(AC44="Alto",AC45="Alto",AC46="Alto"),AND(AC44="Alto",AC45="Bajo",AC46=""),AND(AC44="Alto",AC45="Moderado",AC46=""),AND(AC44="Alto",AC45="Alto",AC46=""),AND(AC44="Bajo",AC45="Alto",AC46=""),AND(AC44="Moderado",AC45="Alto",AC46=""),AND(AC44="Alto",AC45="",AC46="")),"Alto",IF(OR(AND(AC44="Bajo",AC45="Bajo",AC46="Extremo"),AND(AC44="Bajo",AC45="Moderado",AC46="Extremo"),AND(AC44="Bajo",AC45="Alto",AC46="Extremo"),AND(AC44="Moderado",AC45="Bajo",AC46="Extremo"),AND(AC44="Moderado",AC45="Alto",AC46="Extremo"),AND(AC44="Moderado",AC45="Moderado",AC46="Extremo"),AND(AC44="Alto",AC45="Bajo",AC46="Extremo"),AND(AC44="Alto",AC45="Moderado",AC46="Extremo"),AND(AC44="Alto",AC45="Alto",AC46="Extremo"),AND(AC44="Extremo",AC45="Bajo",AC46="Bajo"),AND(AC44="Extremo",AC45="Bajo",AC46="Moderado"),AND(AC44="Extremo",AC45="Bajo",AC46="Alto"),AND(AC44="Extremo",AC45="Moderado",AC46="Bajo"),AND(AC44="Extremo",AC45="Moderado",AC46="Moderado"),AND(AC44="Extremo",AC45="Moderado",AC46="Alto"),AND(AC44="Extremo",AC45="Alto",AC46="Bajo"),AND(AC44="Extremo",AC45="Alto",AC46="Moderado"),AND(AC44="Extremo",AC45="Alto",AC46="Alto"),AND(AC44="Extremo",AC45="Extremo",AC46="Bajo"),AND(AC44="Extremo",AC45="Extremo",AC46="Moderado"),AND(AC44="Extremo",AC45="Extremo",AC46="Alto"),AND(AC44="Extremo",AC45="Extremo",AC46="Extremo"),AND(AC44="Extremo",AC45="Bajo",AC46=""),AND(AC44="Extremo",AC45="Moderado",AC46=""),AND(AC44="Extremo",AC45="Alto",AC46=""),AND(AC44="Extremo",AC45="",AC46="")),"Extremo")))),"")</f>
        <v>Moderado</v>
      </c>
      <c r="AE44" s="125" t="s">
        <v>192</v>
      </c>
      <c r="AF44" s="107"/>
      <c r="AG44" s="107"/>
      <c r="AH44" s="109"/>
      <c r="AI44" s="109"/>
      <c r="AJ44" s="107"/>
      <c r="AK44" s="106"/>
    </row>
    <row r="45" spans="1:37" ht="86.25" x14ac:dyDescent="0.2">
      <c r="A45" s="135"/>
      <c r="B45" s="132"/>
      <c r="C45" s="132"/>
      <c r="D45" s="132"/>
      <c r="E45" s="132"/>
      <c r="F45" s="132"/>
      <c r="G45" s="135"/>
      <c r="H45" s="138"/>
      <c r="I45" s="141"/>
      <c r="J45" s="144"/>
      <c r="K45" s="141"/>
      <c r="L45" s="138"/>
      <c r="M45" s="141"/>
      <c r="N45" s="147"/>
      <c r="O45" s="106">
        <v>2</v>
      </c>
      <c r="P45" s="124" t="s">
        <v>280</v>
      </c>
      <c r="Q45" s="110" t="str">
        <f t="shared" si="0"/>
        <v>Probabilidad</v>
      </c>
      <c r="R45" s="108" t="s">
        <v>169</v>
      </c>
      <c r="S45" s="108" t="s">
        <v>175</v>
      </c>
      <c r="T45" s="111" t="str">
        <f t="shared" si="6"/>
        <v>30%</v>
      </c>
      <c r="U45" s="121" t="s">
        <v>178</v>
      </c>
      <c r="V45" s="121" t="s">
        <v>183</v>
      </c>
      <c r="W45" s="121" t="s">
        <v>187</v>
      </c>
      <c r="X45" s="112">
        <f t="shared" si="7"/>
        <v>0</v>
      </c>
      <c r="Y45" s="113" t="str">
        <f t="shared" si="8"/>
        <v>Muy Baja</v>
      </c>
      <c r="Z45" s="111">
        <f t="shared" si="9"/>
        <v>0</v>
      </c>
      <c r="AA45" s="113" t="str">
        <f t="shared" si="10"/>
        <v>Leve</v>
      </c>
      <c r="AB45" s="111">
        <f t="shared" si="11"/>
        <v>0</v>
      </c>
      <c r="AC45" s="114" t="str">
        <f t="shared" si="12"/>
        <v>Bajo</v>
      </c>
      <c r="AD45" s="129"/>
      <c r="AE45" s="126"/>
      <c r="AF45" s="107"/>
      <c r="AG45" s="107"/>
      <c r="AH45" s="109"/>
      <c r="AI45" s="109"/>
      <c r="AJ45" s="107"/>
      <c r="AK45" s="106"/>
    </row>
    <row r="46" spans="1:37" x14ac:dyDescent="0.2">
      <c r="A46" s="135"/>
      <c r="B46" s="132"/>
      <c r="C46" s="132"/>
      <c r="D46" s="132"/>
      <c r="E46" s="132"/>
      <c r="F46" s="132"/>
      <c r="G46" s="135"/>
      <c r="H46" s="138"/>
      <c r="I46" s="141"/>
      <c r="J46" s="144"/>
      <c r="K46" s="141"/>
      <c r="L46" s="138"/>
      <c r="M46" s="141"/>
      <c r="N46" s="147"/>
      <c r="O46" s="106">
        <v>3</v>
      </c>
      <c r="P46" s="120"/>
      <c r="Q46" s="110" t="str">
        <f t="shared" si="0"/>
        <v/>
      </c>
      <c r="R46" s="108"/>
      <c r="S46" s="108"/>
      <c r="T46" s="111" t="str">
        <f t="shared" si="6"/>
        <v/>
      </c>
      <c r="U46" s="121"/>
      <c r="V46" s="121"/>
      <c r="W46" s="121"/>
      <c r="X46" s="112" t="str">
        <f t="shared" si="7"/>
        <v/>
      </c>
      <c r="Y46" s="113" t="str">
        <f t="shared" si="8"/>
        <v/>
      </c>
      <c r="Z46" s="111" t="str">
        <f t="shared" si="9"/>
        <v/>
      </c>
      <c r="AA46" s="113" t="str">
        <f t="shared" si="10"/>
        <v/>
      </c>
      <c r="AB46" s="111" t="str">
        <f t="shared" si="11"/>
        <v/>
      </c>
      <c r="AC46" s="114" t="str">
        <f t="shared" si="12"/>
        <v/>
      </c>
      <c r="AD46" s="129"/>
      <c r="AE46" s="127"/>
      <c r="AF46" s="107"/>
      <c r="AG46" s="107"/>
      <c r="AH46" s="109"/>
      <c r="AI46" s="109"/>
      <c r="AJ46" s="107"/>
      <c r="AK46" s="106"/>
    </row>
    <row r="47" spans="1:37" ht="16.5" customHeight="1" x14ac:dyDescent="0.2">
      <c r="A47" s="135"/>
      <c r="B47" s="132"/>
      <c r="C47" s="132"/>
      <c r="D47" s="132"/>
      <c r="E47" s="132"/>
      <c r="F47" s="132"/>
      <c r="G47" s="135"/>
      <c r="H47" s="138"/>
      <c r="I47" s="141"/>
      <c r="J47" s="144"/>
      <c r="K47" s="141"/>
      <c r="L47" s="138"/>
      <c r="M47" s="141"/>
      <c r="N47" s="147"/>
      <c r="O47" s="106">
        <v>4</v>
      </c>
      <c r="P47" s="120"/>
      <c r="Q47" s="110" t="str">
        <f t="shared" si="0"/>
        <v/>
      </c>
      <c r="R47" s="108"/>
      <c r="S47" s="108"/>
      <c r="T47" s="111" t="str">
        <f t="shared" si="6"/>
        <v/>
      </c>
      <c r="U47" s="121"/>
      <c r="V47" s="121"/>
      <c r="W47" s="121"/>
      <c r="X47" s="112" t="str">
        <f t="shared" si="7"/>
        <v/>
      </c>
      <c r="Y47" s="113" t="str">
        <f t="shared" si="8"/>
        <v/>
      </c>
      <c r="Z47" s="111" t="str">
        <f t="shared" si="9"/>
        <v/>
      </c>
      <c r="AA47" s="113" t="str">
        <f t="shared" si="10"/>
        <v/>
      </c>
      <c r="AB47" s="111" t="str">
        <f t="shared" si="11"/>
        <v/>
      </c>
      <c r="AC47" s="114" t="str">
        <f t="shared" si="12"/>
        <v/>
      </c>
      <c r="AD47" s="129"/>
      <c r="AE47" s="108"/>
      <c r="AF47" s="107"/>
      <c r="AG47" s="107"/>
      <c r="AH47" s="109"/>
      <c r="AI47" s="109"/>
      <c r="AJ47" s="107"/>
      <c r="AK47" s="106"/>
    </row>
    <row r="48" spans="1:37" ht="16.5" customHeight="1" x14ac:dyDescent="0.2">
      <c r="A48" s="135"/>
      <c r="B48" s="132"/>
      <c r="C48" s="132"/>
      <c r="D48" s="132"/>
      <c r="E48" s="132"/>
      <c r="F48" s="132"/>
      <c r="G48" s="135"/>
      <c r="H48" s="138"/>
      <c r="I48" s="141"/>
      <c r="J48" s="144"/>
      <c r="K48" s="141"/>
      <c r="L48" s="138"/>
      <c r="M48" s="141"/>
      <c r="N48" s="147"/>
      <c r="O48" s="106">
        <v>5</v>
      </c>
      <c r="P48" s="120"/>
      <c r="Q48" s="110" t="str">
        <f t="shared" si="0"/>
        <v/>
      </c>
      <c r="R48" s="108"/>
      <c r="S48" s="108"/>
      <c r="T48" s="111" t="str">
        <f t="shared" si="6"/>
        <v/>
      </c>
      <c r="U48" s="121"/>
      <c r="V48" s="121"/>
      <c r="W48" s="121"/>
      <c r="X48" s="112" t="str">
        <f t="shared" si="7"/>
        <v/>
      </c>
      <c r="Y48" s="113" t="str">
        <f t="shared" si="8"/>
        <v/>
      </c>
      <c r="Z48" s="111" t="str">
        <f t="shared" si="9"/>
        <v/>
      </c>
      <c r="AA48" s="113" t="str">
        <f t="shared" si="10"/>
        <v/>
      </c>
      <c r="AB48" s="111" t="str">
        <f t="shared" si="11"/>
        <v/>
      </c>
      <c r="AC48" s="114" t="str">
        <f t="shared" si="12"/>
        <v/>
      </c>
      <c r="AD48" s="129"/>
      <c r="AE48" s="108"/>
      <c r="AF48" s="107"/>
      <c r="AG48" s="107"/>
      <c r="AH48" s="109"/>
      <c r="AI48" s="109"/>
      <c r="AJ48" s="107"/>
      <c r="AK48" s="106"/>
    </row>
    <row r="49" spans="1:37" ht="16.5" customHeight="1" x14ac:dyDescent="0.2">
      <c r="A49" s="135"/>
      <c r="B49" s="132"/>
      <c r="C49" s="132"/>
      <c r="D49" s="132"/>
      <c r="E49" s="132"/>
      <c r="F49" s="132"/>
      <c r="G49" s="135"/>
      <c r="H49" s="138"/>
      <c r="I49" s="141"/>
      <c r="J49" s="144"/>
      <c r="K49" s="141"/>
      <c r="L49" s="138"/>
      <c r="M49" s="141"/>
      <c r="N49" s="147"/>
      <c r="O49" s="106">
        <v>6</v>
      </c>
      <c r="P49" s="120"/>
      <c r="Q49" s="110" t="str">
        <f t="shared" si="0"/>
        <v/>
      </c>
      <c r="R49" s="108"/>
      <c r="S49" s="108"/>
      <c r="T49" s="111" t="str">
        <f t="shared" si="6"/>
        <v/>
      </c>
      <c r="U49" s="121"/>
      <c r="V49" s="121"/>
      <c r="W49" s="121"/>
      <c r="X49" s="112" t="str">
        <f t="shared" si="7"/>
        <v/>
      </c>
      <c r="Y49" s="113" t="str">
        <f t="shared" si="8"/>
        <v/>
      </c>
      <c r="Z49" s="111" t="str">
        <f t="shared" si="9"/>
        <v/>
      </c>
      <c r="AA49" s="113" t="str">
        <f t="shared" si="10"/>
        <v/>
      </c>
      <c r="AB49" s="111" t="str">
        <f t="shared" si="11"/>
        <v/>
      </c>
      <c r="AC49" s="114" t="str">
        <f t="shared" si="12"/>
        <v/>
      </c>
      <c r="AD49" s="129"/>
      <c r="AE49" s="108"/>
      <c r="AF49" s="107"/>
      <c r="AG49" s="107"/>
      <c r="AH49" s="109"/>
      <c r="AI49" s="109"/>
      <c r="AJ49" s="107"/>
      <c r="AK49" s="106"/>
    </row>
    <row r="50" spans="1:37" ht="16.5" customHeight="1" x14ac:dyDescent="0.2">
      <c r="A50" s="136"/>
      <c r="B50" s="133"/>
      <c r="C50" s="133"/>
      <c r="D50" s="133"/>
      <c r="E50" s="133"/>
      <c r="F50" s="133"/>
      <c r="G50" s="136"/>
      <c r="H50" s="139"/>
      <c r="I50" s="142"/>
      <c r="J50" s="145"/>
      <c r="K50" s="142"/>
      <c r="L50" s="139"/>
      <c r="M50" s="142"/>
      <c r="N50" s="148"/>
      <c r="O50" s="106">
        <v>7</v>
      </c>
      <c r="P50" s="120"/>
      <c r="Q50" s="110" t="str">
        <f t="shared" si="0"/>
        <v/>
      </c>
      <c r="R50" s="108"/>
      <c r="S50" s="108"/>
      <c r="T50" s="111" t="str">
        <f t="shared" si="6"/>
        <v/>
      </c>
      <c r="U50" s="121"/>
      <c r="V50" s="121"/>
      <c r="W50" s="121"/>
      <c r="X50" s="112" t="str">
        <f t="shared" si="7"/>
        <v/>
      </c>
      <c r="Y50" s="113" t="str">
        <f t="shared" si="8"/>
        <v/>
      </c>
      <c r="Z50" s="111" t="str">
        <f t="shared" si="9"/>
        <v/>
      </c>
      <c r="AA50" s="113" t="str">
        <f t="shared" si="10"/>
        <v/>
      </c>
      <c r="AB50" s="111" t="str">
        <f t="shared" si="11"/>
        <v/>
      </c>
      <c r="AC50" s="114" t="str">
        <f t="shared" si="12"/>
        <v/>
      </c>
      <c r="AD50" s="130"/>
      <c r="AE50" s="108"/>
      <c r="AF50" s="107"/>
      <c r="AG50" s="107"/>
      <c r="AH50" s="109"/>
      <c r="AI50" s="109"/>
      <c r="AJ50" s="107"/>
      <c r="AK50" s="106"/>
    </row>
    <row r="51" spans="1:37" ht="16.5" customHeight="1" x14ac:dyDescent="0.2">
      <c r="A51" s="134">
        <v>6</v>
      </c>
      <c r="B51" s="131"/>
      <c r="C51" s="131"/>
      <c r="D51" s="131"/>
      <c r="E51" s="131"/>
      <c r="F51" s="131"/>
      <c r="G51" s="134"/>
      <c r="H51" s="137" t="str">
        <f t="shared" ref="H51" si="33">IF(G51&lt;=0,"",IF(G51&lt;=2,"Muy Baja",IF(G51&lt;=24,"Baja",IF(G51&lt;=500,"Media",IF(G51&lt;=5000,"Alta","Muy Alta")))))</f>
        <v/>
      </c>
      <c r="I51" s="140" t="str">
        <f t="shared" ref="I51" si="34">IF(H51="","",IF(H51="Muy Baja",0.2,IF(H51="Baja",0.4,IF(H51="Media",0.6,IF(H51="Alta",0.8,IF(H51="Muy Alta",1,))))))</f>
        <v/>
      </c>
      <c r="J51" s="143"/>
      <c r="K51" s="140">
        <f>IF(NOT(ISERROR(MATCH(J51,'[1]Tabla Impacto'!$B$221:$B$223,0))),'[1]Tabla Impacto'!$F$223&amp;"Por favor no seleccionar los criterios de impacto(Afectación Económica o presupuestal y Pérdida Reputacional)",J51)</f>
        <v>0</v>
      </c>
      <c r="L51" s="137" t="str">
        <f>IF(OR(K51='[1]Tabla Impacto'!$C$11,K51='[1]Tabla Impacto'!$D$11),"Leve",IF(OR(K51='[1]Tabla Impacto'!$C$12,K51='[1]Tabla Impacto'!$D$12),"Menor",IF(OR(K51='[1]Tabla Impacto'!$C$13,K51='[1]Tabla Impacto'!$D$13),"Moderado",IF(OR(K51='[1]Tabla Impacto'!$C$14,K51='[1]Tabla Impacto'!$D$14),"Mayor",IF(OR(K51='[1]Tabla Impacto'!$C$15,K51='[1]Tabla Impacto'!$D$15),"Catastrófico","")))))</f>
        <v/>
      </c>
      <c r="M51" s="140" t="str">
        <f t="shared" ref="M51" si="35">IF(L51="","",IF(L51="Leve",0.2,IF(L51="Menor",0.4,IF(L51="Moderado",0.6,IF(L51="Mayor",0.8,IF(L51="Catastrófico",1,))))))</f>
        <v/>
      </c>
      <c r="N51" s="146" t="str">
        <f t="shared" ref="N51" si="36">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
      </c>
      <c r="O51" s="106">
        <v>1</v>
      </c>
      <c r="P51" s="120"/>
      <c r="Q51" s="110" t="str">
        <f t="shared" si="0"/>
        <v/>
      </c>
      <c r="R51" s="108"/>
      <c r="S51" s="108"/>
      <c r="T51" s="111" t="str">
        <f t="shared" si="6"/>
        <v/>
      </c>
      <c r="U51" s="121"/>
      <c r="V51" s="121"/>
      <c r="W51" s="121"/>
      <c r="X51" s="112" t="str">
        <f t="shared" si="7"/>
        <v/>
      </c>
      <c r="Y51" s="113" t="str">
        <f t="shared" si="8"/>
        <v/>
      </c>
      <c r="Z51" s="111" t="str">
        <f t="shared" si="9"/>
        <v/>
      </c>
      <c r="AA51" s="113" t="str">
        <f t="shared" si="10"/>
        <v/>
      </c>
      <c r="AB51" s="111" t="str">
        <f t="shared" si="11"/>
        <v/>
      </c>
      <c r="AC51" s="114" t="str">
        <f t="shared" si="12"/>
        <v/>
      </c>
      <c r="AD51" s="128" t="b">
        <f t="shared" ref="AD51" si="37">IFERROR(IF(OR(AND(AC51="Bajo",AC52="Bajo",AC53="Bajo"),AND(AC51="Bajo",AC52="Bajo",AC53=""),AND(AC51="Bajo",AC52="",AC53="")),"Bajo",IF(OR(AND(AC51="Bajo",AC52="Bajo",AC53="Moderado"),AND(AC51="Bajo",AC52="Moderado",AC53="Moderado"),AND(AC51="Moderado",AC52="Moderado",AC53="Moderado"),AND(AC51="Bajo",AC52="Moderado",AC53=""),AND(AC51="Moderado",AC52="Bajo",AC53=""),AND(AC51="Moderado",AC52="Moderado",AC53=""),AND(AC51="Moderado",AC52="",AC53="")),"Moderado",IF(OR(AND(AC51="Bajo",AC52="Bajo",AC53="Alto"),AND(AC51="Bajo",AC52="Moderado",AC53="Alto"),AND(AC51="Moderado",AC52="Bajo",AC53="Alto"),AND(AC51="Moderado",AC52="Alto",AC53="Bajo"),AND(AC51="Moderado",AC52="Moderado",AC53="Alto"),AND(AC51="Alto",AC52="Bajo",AC53="Bajo"),AND(AC51="Alto",AC52="Moderado",AC53="Bajo"),AND(AC51="Alto",AC52="Moderado",AC53="Moderado"),AND(AC51="Alto",AC52="Alto",AC53="Bajo"),AND(AC51="Alto",AC52="Alto",AC53="Moderado"),AND(AC51="Alto",AC52="Alto",AC53="Alto"),AND(AC51="Alto",AC52="Bajo",AC53=""),AND(AC51="Alto",AC52="Moderado",AC53=""),AND(AC51="Alto",AC52="Alto",AC53=""),AND(AC51="Bajo",AC52="Alto",AC53=""),AND(AC51="Moderado",AC52="Alto",AC53=""),AND(AC51="Alto",AC52="",AC53="")),"Alto",IF(OR(AND(AC51="Bajo",AC52="Bajo",AC53="Extremo"),AND(AC51="Bajo",AC52="Moderado",AC53="Extremo"),AND(AC51="Bajo",AC52="Alto",AC53="Extremo"),AND(AC51="Moderado",AC52="Bajo",AC53="Extremo"),AND(AC51="Moderado",AC52="Alto",AC53="Extremo"),AND(AC51="Moderado",AC52="Moderado",AC53="Extremo"),AND(AC51="Alto",AC52="Bajo",AC53="Extremo"),AND(AC51="Alto",AC52="Moderado",AC53="Extremo"),AND(AC51="Alto",AC52="Alto",AC53="Extremo"),AND(AC51="Extremo",AC52="Bajo",AC53="Bajo"),AND(AC51="Extremo",AC52="Bajo",AC53="Moderado"),AND(AC51="Extremo",AC52="Bajo",AC53="Alto"),AND(AC51="Extremo",AC52="Moderado",AC53="Bajo"),AND(AC51="Extremo",AC52="Moderado",AC53="Moderado"),AND(AC51="Extremo",AC52="Moderado",AC53="Alto"),AND(AC51="Extremo",AC52="Alto",AC53="Bajo"),AND(AC51="Extremo",AC52="Alto",AC53="Moderado"),AND(AC51="Extremo",AC52="Alto",AC53="Alto"),AND(AC51="Extremo",AC52="Extremo",AC53="Bajo"),AND(AC51="Extremo",AC52="Extremo",AC53="Moderado"),AND(AC51="Extremo",AC52="Extremo",AC53="Alto"),AND(AC51="Extremo",AC52="Extremo",AC53="Extremo"),AND(AC51="Extremo",AC52="Bajo",AC53=""),AND(AC51="Extremo",AC52="Moderado",AC53=""),AND(AC51="Extremo",AC52="Alto",AC53=""),AND(AC51="Extremo",AC52="",AC53="")),"Extremo")))),"")</f>
        <v>0</v>
      </c>
      <c r="AE51" s="125"/>
      <c r="AF51" s="107"/>
      <c r="AG51" s="107"/>
      <c r="AH51" s="109"/>
      <c r="AI51" s="109"/>
      <c r="AJ51" s="107"/>
      <c r="AK51" s="106"/>
    </row>
    <row r="52" spans="1:37" x14ac:dyDescent="0.2">
      <c r="A52" s="135"/>
      <c r="B52" s="132"/>
      <c r="C52" s="132"/>
      <c r="D52" s="132"/>
      <c r="E52" s="132"/>
      <c r="F52" s="132"/>
      <c r="G52" s="135"/>
      <c r="H52" s="138"/>
      <c r="I52" s="141"/>
      <c r="J52" s="144"/>
      <c r="K52" s="141"/>
      <c r="L52" s="138"/>
      <c r="M52" s="141"/>
      <c r="N52" s="147"/>
      <c r="O52" s="106">
        <v>2</v>
      </c>
      <c r="P52" s="120"/>
      <c r="Q52" s="110" t="str">
        <f t="shared" si="0"/>
        <v/>
      </c>
      <c r="R52" s="108"/>
      <c r="S52" s="108"/>
      <c r="T52" s="111" t="str">
        <f t="shared" si="6"/>
        <v/>
      </c>
      <c r="U52" s="121"/>
      <c r="V52" s="121"/>
      <c r="W52" s="121"/>
      <c r="X52" s="112" t="str">
        <f t="shared" si="7"/>
        <v/>
      </c>
      <c r="Y52" s="113" t="str">
        <f t="shared" si="8"/>
        <v/>
      </c>
      <c r="Z52" s="111" t="str">
        <f t="shared" si="9"/>
        <v/>
      </c>
      <c r="AA52" s="113" t="str">
        <f t="shared" si="10"/>
        <v/>
      </c>
      <c r="AB52" s="111" t="str">
        <f t="shared" si="11"/>
        <v/>
      </c>
      <c r="AC52" s="114" t="str">
        <f t="shared" si="12"/>
        <v/>
      </c>
      <c r="AD52" s="129"/>
      <c r="AE52" s="126"/>
      <c r="AF52" s="107"/>
      <c r="AG52" s="107"/>
      <c r="AH52" s="109"/>
      <c r="AI52" s="109"/>
      <c r="AJ52" s="107"/>
      <c r="AK52" s="106"/>
    </row>
    <row r="53" spans="1:37" x14ac:dyDescent="0.2">
      <c r="A53" s="135"/>
      <c r="B53" s="132"/>
      <c r="C53" s="132"/>
      <c r="D53" s="132"/>
      <c r="E53" s="132"/>
      <c r="F53" s="132"/>
      <c r="G53" s="135"/>
      <c r="H53" s="138"/>
      <c r="I53" s="141"/>
      <c r="J53" s="144"/>
      <c r="K53" s="141"/>
      <c r="L53" s="138"/>
      <c r="M53" s="141"/>
      <c r="N53" s="147"/>
      <c r="O53" s="106">
        <v>3</v>
      </c>
      <c r="P53" s="120"/>
      <c r="Q53" s="110" t="str">
        <f t="shared" si="0"/>
        <v/>
      </c>
      <c r="R53" s="108"/>
      <c r="S53" s="108"/>
      <c r="T53" s="111" t="str">
        <f t="shared" si="6"/>
        <v/>
      </c>
      <c r="U53" s="121"/>
      <c r="V53" s="121"/>
      <c r="W53" s="121"/>
      <c r="X53" s="112" t="str">
        <f t="shared" si="7"/>
        <v/>
      </c>
      <c r="Y53" s="113" t="str">
        <f t="shared" si="8"/>
        <v/>
      </c>
      <c r="Z53" s="111" t="str">
        <f t="shared" si="9"/>
        <v/>
      </c>
      <c r="AA53" s="113" t="str">
        <f t="shared" si="10"/>
        <v/>
      </c>
      <c r="AB53" s="111" t="str">
        <f t="shared" si="11"/>
        <v/>
      </c>
      <c r="AC53" s="114" t="str">
        <f t="shared" si="12"/>
        <v/>
      </c>
      <c r="AD53" s="129"/>
      <c r="AE53" s="127"/>
      <c r="AF53" s="107"/>
      <c r="AG53" s="107"/>
      <c r="AH53" s="109"/>
      <c r="AI53" s="109"/>
      <c r="AJ53" s="107"/>
      <c r="AK53" s="106"/>
    </row>
    <row r="54" spans="1:37" x14ac:dyDescent="0.2">
      <c r="A54" s="135"/>
      <c r="B54" s="132"/>
      <c r="C54" s="132"/>
      <c r="D54" s="132"/>
      <c r="E54" s="132"/>
      <c r="F54" s="132"/>
      <c r="G54" s="135"/>
      <c r="H54" s="138"/>
      <c r="I54" s="141"/>
      <c r="J54" s="144"/>
      <c r="K54" s="141"/>
      <c r="L54" s="138"/>
      <c r="M54" s="141"/>
      <c r="N54" s="147"/>
      <c r="O54" s="106">
        <v>4</v>
      </c>
      <c r="P54" s="120"/>
      <c r="Q54" s="110" t="str">
        <f t="shared" si="0"/>
        <v/>
      </c>
      <c r="R54" s="108"/>
      <c r="S54" s="108"/>
      <c r="T54" s="111" t="str">
        <f t="shared" si="6"/>
        <v/>
      </c>
      <c r="U54" s="121"/>
      <c r="V54" s="121"/>
      <c r="W54" s="121"/>
      <c r="X54" s="112" t="str">
        <f t="shared" si="7"/>
        <v/>
      </c>
      <c r="Y54" s="113" t="str">
        <f t="shared" si="8"/>
        <v/>
      </c>
      <c r="Z54" s="111" t="str">
        <f t="shared" si="9"/>
        <v/>
      </c>
      <c r="AA54" s="113" t="str">
        <f t="shared" si="10"/>
        <v/>
      </c>
      <c r="AB54" s="111" t="str">
        <f t="shared" si="11"/>
        <v/>
      </c>
      <c r="AC54" s="114" t="str">
        <f t="shared" si="12"/>
        <v/>
      </c>
      <c r="AD54" s="129"/>
      <c r="AE54" s="108"/>
      <c r="AF54" s="107"/>
      <c r="AG54" s="107"/>
      <c r="AH54" s="109"/>
      <c r="AI54" s="109"/>
      <c r="AJ54" s="107"/>
      <c r="AK54" s="106"/>
    </row>
    <row r="55" spans="1:37" x14ac:dyDescent="0.2">
      <c r="A55" s="135"/>
      <c r="B55" s="132"/>
      <c r="C55" s="132"/>
      <c r="D55" s="132"/>
      <c r="E55" s="132"/>
      <c r="F55" s="132"/>
      <c r="G55" s="135"/>
      <c r="H55" s="138"/>
      <c r="I55" s="141"/>
      <c r="J55" s="144"/>
      <c r="K55" s="141"/>
      <c r="L55" s="138"/>
      <c r="M55" s="141"/>
      <c r="N55" s="147"/>
      <c r="O55" s="106">
        <v>5</v>
      </c>
      <c r="P55" s="120"/>
      <c r="Q55" s="110" t="str">
        <f t="shared" si="0"/>
        <v/>
      </c>
      <c r="R55" s="108"/>
      <c r="S55" s="108"/>
      <c r="T55" s="111" t="str">
        <f t="shared" si="6"/>
        <v/>
      </c>
      <c r="U55" s="121"/>
      <c r="V55" s="121"/>
      <c r="W55" s="121"/>
      <c r="X55" s="112" t="str">
        <f t="shared" si="7"/>
        <v/>
      </c>
      <c r="Y55" s="113" t="str">
        <f t="shared" si="8"/>
        <v/>
      </c>
      <c r="Z55" s="111" t="str">
        <f t="shared" si="9"/>
        <v/>
      </c>
      <c r="AA55" s="113" t="str">
        <f t="shared" si="10"/>
        <v/>
      </c>
      <c r="AB55" s="111" t="str">
        <f t="shared" si="11"/>
        <v/>
      </c>
      <c r="AC55" s="114" t="str">
        <f t="shared" si="12"/>
        <v/>
      </c>
      <c r="AD55" s="129"/>
      <c r="AE55" s="108"/>
      <c r="AF55" s="107"/>
      <c r="AG55" s="107"/>
      <c r="AH55" s="109"/>
      <c r="AI55" s="109"/>
      <c r="AJ55" s="107"/>
      <c r="AK55" s="106"/>
    </row>
    <row r="56" spans="1:37" x14ac:dyDescent="0.2">
      <c r="A56" s="135"/>
      <c r="B56" s="132"/>
      <c r="C56" s="132"/>
      <c r="D56" s="132"/>
      <c r="E56" s="132"/>
      <c r="F56" s="132"/>
      <c r="G56" s="135"/>
      <c r="H56" s="138"/>
      <c r="I56" s="141"/>
      <c r="J56" s="144"/>
      <c r="K56" s="141"/>
      <c r="L56" s="138"/>
      <c r="M56" s="141"/>
      <c r="N56" s="147"/>
      <c r="O56" s="106">
        <v>6</v>
      </c>
      <c r="P56" s="120"/>
      <c r="Q56" s="110" t="str">
        <f t="shared" si="0"/>
        <v/>
      </c>
      <c r="R56" s="108"/>
      <c r="S56" s="108"/>
      <c r="T56" s="111" t="str">
        <f t="shared" si="6"/>
        <v/>
      </c>
      <c r="U56" s="121"/>
      <c r="V56" s="121"/>
      <c r="W56" s="121"/>
      <c r="X56" s="112" t="str">
        <f t="shared" si="7"/>
        <v/>
      </c>
      <c r="Y56" s="113" t="str">
        <f t="shared" si="8"/>
        <v/>
      </c>
      <c r="Z56" s="111" t="str">
        <f t="shared" si="9"/>
        <v/>
      </c>
      <c r="AA56" s="113" t="str">
        <f t="shared" si="10"/>
        <v/>
      </c>
      <c r="AB56" s="111" t="str">
        <f t="shared" si="11"/>
        <v/>
      </c>
      <c r="AC56" s="114" t="str">
        <f t="shared" si="12"/>
        <v/>
      </c>
      <c r="AD56" s="129"/>
      <c r="AE56" s="108"/>
      <c r="AF56" s="107"/>
      <c r="AG56" s="107"/>
      <c r="AH56" s="109"/>
      <c r="AI56" s="109"/>
      <c r="AJ56" s="107"/>
      <c r="AK56" s="106"/>
    </row>
    <row r="57" spans="1:37" x14ac:dyDescent="0.2">
      <c r="A57" s="136"/>
      <c r="B57" s="133"/>
      <c r="C57" s="133"/>
      <c r="D57" s="133"/>
      <c r="E57" s="133"/>
      <c r="F57" s="133"/>
      <c r="G57" s="136"/>
      <c r="H57" s="139"/>
      <c r="I57" s="142"/>
      <c r="J57" s="145"/>
      <c r="K57" s="142"/>
      <c r="L57" s="139"/>
      <c r="M57" s="142"/>
      <c r="N57" s="148"/>
      <c r="O57" s="106">
        <v>7</v>
      </c>
      <c r="P57" s="120"/>
      <c r="Q57" s="110" t="str">
        <f t="shared" si="0"/>
        <v/>
      </c>
      <c r="R57" s="108"/>
      <c r="S57" s="108"/>
      <c r="T57" s="111" t="str">
        <f t="shared" si="6"/>
        <v/>
      </c>
      <c r="U57" s="121"/>
      <c r="V57" s="121"/>
      <c r="W57" s="121"/>
      <c r="X57" s="112" t="str">
        <f t="shared" si="7"/>
        <v/>
      </c>
      <c r="Y57" s="113" t="str">
        <f t="shared" si="8"/>
        <v/>
      </c>
      <c r="Z57" s="111" t="str">
        <f t="shared" si="9"/>
        <v/>
      </c>
      <c r="AA57" s="113" t="str">
        <f t="shared" si="10"/>
        <v/>
      </c>
      <c r="AB57" s="111" t="str">
        <f t="shared" si="11"/>
        <v/>
      </c>
      <c r="AC57" s="114" t="str">
        <f t="shared" si="12"/>
        <v/>
      </c>
      <c r="AD57" s="130"/>
      <c r="AE57" s="108"/>
      <c r="AF57" s="107"/>
      <c r="AG57" s="107"/>
      <c r="AH57" s="109"/>
      <c r="AI57" s="109"/>
      <c r="AJ57" s="107"/>
      <c r="AK57" s="106"/>
    </row>
    <row r="58" spans="1:37" ht="16.5" customHeight="1" x14ac:dyDescent="0.2">
      <c r="A58" s="134">
        <v>7</v>
      </c>
      <c r="B58" s="131"/>
      <c r="C58" s="131"/>
      <c r="D58" s="131"/>
      <c r="E58" s="131"/>
      <c r="F58" s="131"/>
      <c r="G58" s="134"/>
      <c r="H58" s="137" t="str">
        <f t="shared" ref="H58" si="38">IF(G58&lt;=0,"",IF(G58&lt;=2,"Muy Baja",IF(G58&lt;=24,"Baja",IF(G58&lt;=500,"Media",IF(G58&lt;=5000,"Alta","Muy Alta")))))</f>
        <v/>
      </c>
      <c r="I58" s="140" t="str">
        <f t="shared" ref="I58" si="39">IF(H58="","",IF(H58="Muy Baja",0.2,IF(H58="Baja",0.4,IF(H58="Media",0.6,IF(H58="Alta",0.8,IF(H58="Muy Alta",1,))))))</f>
        <v/>
      </c>
      <c r="J58" s="143"/>
      <c r="K58" s="140">
        <f>IF(NOT(ISERROR(MATCH(J58,'[1]Tabla Impacto'!$B$221:$B$223,0))),'[1]Tabla Impacto'!$F$223&amp;"Por favor no seleccionar los criterios de impacto(Afectación Económica o presupuestal y Pérdida Reputacional)",J58)</f>
        <v>0</v>
      </c>
      <c r="L58" s="137" t="str">
        <f>IF(OR(K58='[1]Tabla Impacto'!$C$11,K58='[1]Tabla Impacto'!$D$11),"Leve",IF(OR(K58='[1]Tabla Impacto'!$C$12,K58='[1]Tabla Impacto'!$D$12),"Menor",IF(OR(K58='[1]Tabla Impacto'!$C$13,K58='[1]Tabla Impacto'!$D$13),"Moderado",IF(OR(K58='[1]Tabla Impacto'!$C$14,K58='[1]Tabla Impacto'!$D$14),"Mayor",IF(OR(K58='[1]Tabla Impacto'!$C$15,K58='[1]Tabla Impacto'!$D$15),"Catastrófico","")))))</f>
        <v/>
      </c>
      <c r="M58" s="140" t="str">
        <f t="shared" ref="M58" si="40">IF(L58="","",IF(L58="Leve",0.2,IF(L58="Menor",0.4,IF(L58="Moderado",0.6,IF(L58="Mayor",0.8,IF(L58="Catastrófico",1,))))))</f>
        <v/>
      </c>
      <c r="N58" s="146" t="str">
        <f t="shared" ref="N58" si="4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06">
        <v>1</v>
      </c>
      <c r="P58" s="120"/>
      <c r="Q58" s="110" t="str">
        <f t="shared" si="0"/>
        <v/>
      </c>
      <c r="R58" s="108"/>
      <c r="S58" s="108"/>
      <c r="T58" s="111" t="str">
        <f t="shared" si="6"/>
        <v/>
      </c>
      <c r="U58" s="121"/>
      <c r="V58" s="121"/>
      <c r="W58" s="121"/>
      <c r="X58" s="112" t="str">
        <f t="shared" si="7"/>
        <v/>
      </c>
      <c r="Y58" s="113" t="str">
        <f t="shared" si="8"/>
        <v/>
      </c>
      <c r="Z58" s="111" t="str">
        <f t="shared" si="9"/>
        <v/>
      </c>
      <c r="AA58" s="113" t="str">
        <f t="shared" si="10"/>
        <v/>
      </c>
      <c r="AB58" s="111" t="str">
        <f t="shared" si="11"/>
        <v/>
      </c>
      <c r="AC58" s="114" t="str">
        <f t="shared" si="12"/>
        <v/>
      </c>
      <c r="AD58" s="128" t="b">
        <f t="shared" ref="AD58" si="42">IFERROR(IF(OR(AND(AC58="Bajo",AC59="Bajo",AC60="Bajo"),AND(AC58="Bajo",AC59="Bajo",AC60=""),AND(AC58="Bajo",AC59="",AC60="")),"Bajo",IF(OR(AND(AC58="Bajo",AC59="Bajo",AC60="Moderado"),AND(AC58="Bajo",AC59="Moderado",AC60="Moderado"),AND(AC58="Moderado",AC59="Moderado",AC60="Moderado"),AND(AC58="Bajo",AC59="Moderado",AC60=""),AND(AC58="Moderado",AC59="Bajo",AC60=""),AND(AC58="Moderado",AC59="Moderado",AC60=""),AND(AC58="Moderado",AC59="",AC60="")),"Moderado",IF(OR(AND(AC58="Bajo",AC59="Bajo",AC60="Alto"),AND(AC58="Bajo",AC59="Moderado",AC60="Alto"),AND(AC58="Moderado",AC59="Bajo",AC60="Alto"),AND(AC58="Moderado",AC59="Alto",AC60="Bajo"),AND(AC58="Moderado",AC59="Moderado",AC60="Alto"),AND(AC58="Alto",AC59="Bajo",AC60="Bajo"),AND(AC58="Alto",AC59="Moderado",AC60="Bajo"),AND(AC58="Alto",AC59="Moderado",AC60="Moderado"),AND(AC58="Alto",AC59="Alto",AC60="Bajo"),AND(AC58="Alto",AC59="Alto",AC60="Moderado"),AND(AC58="Alto",AC59="Alto",AC60="Alto"),AND(AC58="Alto",AC59="Bajo",AC60=""),AND(AC58="Alto",AC59="Moderado",AC60=""),AND(AC58="Alto",AC59="Alto",AC60=""),AND(AC58="Bajo",AC59="Alto",AC60=""),AND(AC58="Moderado",AC59="Alto",AC60=""),AND(AC58="Alto",AC59="",AC60="")),"Alto",IF(OR(AND(AC58="Bajo",AC59="Bajo",AC60="Extremo"),AND(AC58="Bajo",AC59="Moderado",AC60="Extremo"),AND(AC58="Bajo",AC59="Alto",AC60="Extremo"),AND(AC58="Moderado",AC59="Bajo",AC60="Extremo"),AND(AC58="Moderado",AC59="Alto",AC60="Extremo"),AND(AC58="Moderado",AC59="Moderado",AC60="Extremo"),AND(AC58="Alto",AC59="Bajo",AC60="Extremo"),AND(AC58="Alto",AC59="Moderado",AC60="Extremo"),AND(AC58="Alto",AC59="Alto",AC60="Extremo"),AND(AC58="Extremo",AC59="Bajo",AC60="Bajo"),AND(AC58="Extremo",AC59="Bajo",AC60="Moderado"),AND(AC58="Extremo",AC59="Bajo",AC60="Alto"),AND(AC58="Extremo",AC59="Moderado",AC60="Bajo"),AND(AC58="Extremo",AC59="Moderado",AC60="Moderado"),AND(AC58="Extremo",AC59="Moderado",AC60="Alto"),AND(AC58="Extremo",AC59="Alto",AC60="Bajo"),AND(AC58="Extremo",AC59="Alto",AC60="Moderado"),AND(AC58="Extremo",AC59="Alto",AC60="Alto"),AND(AC58="Extremo",AC59="Extremo",AC60="Bajo"),AND(AC58="Extremo",AC59="Extremo",AC60="Moderado"),AND(AC58="Extremo",AC59="Extremo",AC60="Alto"),AND(AC58="Extremo",AC59="Extremo",AC60="Extremo"),AND(AC58="Extremo",AC59="Bajo",AC60=""),AND(AC58="Extremo",AC59="Moderado",AC60=""),AND(AC58="Extremo",AC59="Alto",AC60=""),AND(AC58="Extremo",AC59="",AC60="")),"Extremo")))),"")</f>
        <v>0</v>
      </c>
      <c r="AE58" s="125"/>
      <c r="AF58" s="107"/>
      <c r="AG58" s="107"/>
      <c r="AH58" s="109"/>
      <c r="AI58" s="109"/>
      <c r="AJ58" s="107"/>
      <c r="AK58" s="106"/>
    </row>
    <row r="59" spans="1:37" x14ac:dyDescent="0.2">
      <c r="A59" s="135"/>
      <c r="B59" s="132"/>
      <c r="C59" s="132"/>
      <c r="D59" s="132"/>
      <c r="E59" s="132"/>
      <c r="F59" s="132"/>
      <c r="G59" s="135"/>
      <c r="H59" s="138"/>
      <c r="I59" s="141"/>
      <c r="J59" s="144"/>
      <c r="K59" s="141"/>
      <c r="L59" s="138"/>
      <c r="M59" s="141"/>
      <c r="N59" s="147"/>
      <c r="O59" s="106">
        <v>2</v>
      </c>
      <c r="P59" s="120"/>
      <c r="Q59" s="110" t="str">
        <f t="shared" si="0"/>
        <v/>
      </c>
      <c r="R59" s="108"/>
      <c r="S59" s="108"/>
      <c r="T59" s="111" t="str">
        <f t="shared" si="6"/>
        <v/>
      </c>
      <c r="U59" s="121"/>
      <c r="V59" s="121"/>
      <c r="W59" s="121"/>
      <c r="X59" s="112" t="str">
        <f t="shared" si="7"/>
        <v/>
      </c>
      <c r="Y59" s="113" t="str">
        <f t="shared" si="8"/>
        <v/>
      </c>
      <c r="Z59" s="111" t="str">
        <f t="shared" si="9"/>
        <v/>
      </c>
      <c r="AA59" s="113" t="str">
        <f t="shared" si="10"/>
        <v/>
      </c>
      <c r="AB59" s="111" t="str">
        <f t="shared" si="11"/>
        <v/>
      </c>
      <c r="AC59" s="114" t="str">
        <f t="shared" si="12"/>
        <v/>
      </c>
      <c r="AD59" s="129"/>
      <c r="AE59" s="126"/>
      <c r="AF59" s="107"/>
      <c r="AG59" s="107"/>
      <c r="AH59" s="109"/>
      <c r="AI59" s="109"/>
      <c r="AJ59" s="107"/>
      <c r="AK59" s="106"/>
    </row>
    <row r="60" spans="1:37" x14ac:dyDescent="0.2">
      <c r="A60" s="135"/>
      <c r="B60" s="132"/>
      <c r="C60" s="132"/>
      <c r="D60" s="132"/>
      <c r="E60" s="132"/>
      <c r="F60" s="132"/>
      <c r="G60" s="135"/>
      <c r="H60" s="138"/>
      <c r="I60" s="141"/>
      <c r="J60" s="144"/>
      <c r="K60" s="141"/>
      <c r="L60" s="138"/>
      <c r="M60" s="141"/>
      <c r="N60" s="147"/>
      <c r="O60" s="106">
        <v>3</v>
      </c>
      <c r="P60" s="120"/>
      <c r="Q60" s="110" t="str">
        <f t="shared" si="0"/>
        <v/>
      </c>
      <c r="R60" s="108"/>
      <c r="S60" s="108"/>
      <c r="T60" s="111" t="str">
        <f t="shared" si="6"/>
        <v/>
      </c>
      <c r="U60" s="121"/>
      <c r="V60" s="121"/>
      <c r="W60" s="121"/>
      <c r="X60" s="112" t="str">
        <f t="shared" si="7"/>
        <v/>
      </c>
      <c r="Y60" s="113" t="str">
        <f t="shared" si="8"/>
        <v/>
      </c>
      <c r="Z60" s="111" t="str">
        <f t="shared" si="9"/>
        <v/>
      </c>
      <c r="AA60" s="113" t="str">
        <f t="shared" si="10"/>
        <v/>
      </c>
      <c r="AB60" s="111" t="str">
        <f t="shared" si="11"/>
        <v/>
      </c>
      <c r="AC60" s="114" t="str">
        <f t="shared" si="12"/>
        <v/>
      </c>
      <c r="AD60" s="129"/>
      <c r="AE60" s="127"/>
      <c r="AF60" s="107"/>
      <c r="AG60" s="107"/>
      <c r="AH60" s="109"/>
      <c r="AI60" s="109"/>
      <c r="AJ60" s="107"/>
      <c r="AK60" s="106"/>
    </row>
    <row r="61" spans="1:37" x14ac:dyDescent="0.2">
      <c r="A61" s="135"/>
      <c r="B61" s="132"/>
      <c r="C61" s="132"/>
      <c r="D61" s="132"/>
      <c r="E61" s="132"/>
      <c r="F61" s="132"/>
      <c r="G61" s="135"/>
      <c r="H61" s="138"/>
      <c r="I61" s="141"/>
      <c r="J61" s="144"/>
      <c r="K61" s="141"/>
      <c r="L61" s="138"/>
      <c r="M61" s="141"/>
      <c r="N61" s="147"/>
      <c r="O61" s="106">
        <v>4</v>
      </c>
      <c r="P61" s="120"/>
      <c r="Q61" s="110" t="str">
        <f t="shared" si="0"/>
        <v/>
      </c>
      <c r="R61" s="108"/>
      <c r="S61" s="108"/>
      <c r="T61" s="111" t="str">
        <f t="shared" si="6"/>
        <v/>
      </c>
      <c r="U61" s="121"/>
      <c r="V61" s="121"/>
      <c r="W61" s="121"/>
      <c r="X61" s="112" t="str">
        <f t="shared" si="7"/>
        <v/>
      </c>
      <c r="Y61" s="113" t="str">
        <f t="shared" si="8"/>
        <v/>
      </c>
      <c r="Z61" s="111" t="str">
        <f t="shared" si="9"/>
        <v/>
      </c>
      <c r="AA61" s="113" t="str">
        <f t="shared" si="10"/>
        <v/>
      </c>
      <c r="AB61" s="111" t="str">
        <f t="shared" si="11"/>
        <v/>
      </c>
      <c r="AC61" s="114" t="str">
        <f t="shared" si="12"/>
        <v/>
      </c>
      <c r="AD61" s="129"/>
      <c r="AE61" s="108"/>
      <c r="AF61" s="107"/>
      <c r="AG61" s="107"/>
      <c r="AH61" s="109"/>
      <c r="AI61" s="109"/>
      <c r="AJ61" s="107"/>
      <c r="AK61" s="106"/>
    </row>
    <row r="62" spans="1:37" x14ac:dyDescent="0.2">
      <c r="A62" s="135"/>
      <c r="B62" s="132"/>
      <c r="C62" s="132"/>
      <c r="D62" s="132"/>
      <c r="E62" s="132"/>
      <c r="F62" s="132"/>
      <c r="G62" s="135"/>
      <c r="H62" s="138"/>
      <c r="I62" s="141"/>
      <c r="J62" s="144"/>
      <c r="K62" s="141"/>
      <c r="L62" s="138"/>
      <c r="M62" s="141"/>
      <c r="N62" s="147"/>
      <c r="O62" s="106">
        <v>5</v>
      </c>
      <c r="P62" s="120"/>
      <c r="Q62" s="110" t="str">
        <f t="shared" si="0"/>
        <v/>
      </c>
      <c r="R62" s="108"/>
      <c r="S62" s="108"/>
      <c r="T62" s="111" t="str">
        <f t="shared" si="6"/>
        <v/>
      </c>
      <c r="U62" s="121"/>
      <c r="V62" s="121"/>
      <c r="W62" s="121"/>
      <c r="X62" s="112" t="str">
        <f t="shared" si="7"/>
        <v/>
      </c>
      <c r="Y62" s="113" t="str">
        <f t="shared" si="8"/>
        <v/>
      </c>
      <c r="Z62" s="111" t="str">
        <f t="shared" si="9"/>
        <v/>
      </c>
      <c r="AA62" s="113" t="str">
        <f t="shared" si="10"/>
        <v/>
      </c>
      <c r="AB62" s="111" t="str">
        <f t="shared" si="11"/>
        <v/>
      </c>
      <c r="AC62" s="114" t="str">
        <f t="shared" si="12"/>
        <v/>
      </c>
      <c r="AD62" s="129"/>
      <c r="AE62" s="108"/>
      <c r="AF62" s="107"/>
      <c r="AG62" s="107"/>
      <c r="AH62" s="109"/>
      <c r="AI62" s="109"/>
      <c r="AJ62" s="107"/>
      <c r="AK62" s="106"/>
    </row>
    <row r="63" spans="1:37" x14ac:dyDescent="0.2">
      <c r="A63" s="135"/>
      <c r="B63" s="132"/>
      <c r="C63" s="132"/>
      <c r="D63" s="132"/>
      <c r="E63" s="132"/>
      <c r="F63" s="132"/>
      <c r="G63" s="135"/>
      <c r="H63" s="138"/>
      <c r="I63" s="141"/>
      <c r="J63" s="144"/>
      <c r="K63" s="141"/>
      <c r="L63" s="138"/>
      <c r="M63" s="141"/>
      <c r="N63" s="147"/>
      <c r="O63" s="106">
        <v>6</v>
      </c>
      <c r="P63" s="120"/>
      <c r="Q63" s="110" t="str">
        <f t="shared" si="0"/>
        <v/>
      </c>
      <c r="R63" s="108"/>
      <c r="S63" s="108"/>
      <c r="T63" s="111" t="str">
        <f t="shared" si="6"/>
        <v/>
      </c>
      <c r="U63" s="121"/>
      <c r="V63" s="121"/>
      <c r="W63" s="121"/>
      <c r="X63" s="112" t="str">
        <f t="shared" si="7"/>
        <v/>
      </c>
      <c r="Y63" s="113" t="str">
        <f t="shared" si="8"/>
        <v/>
      </c>
      <c r="Z63" s="111" t="str">
        <f t="shared" si="9"/>
        <v/>
      </c>
      <c r="AA63" s="113" t="str">
        <f t="shared" si="10"/>
        <v/>
      </c>
      <c r="AB63" s="111" t="str">
        <f t="shared" si="11"/>
        <v/>
      </c>
      <c r="AC63" s="114" t="str">
        <f t="shared" si="12"/>
        <v/>
      </c>
      <c r="AD63" s="129"/>
      <c r="AE63" s="108"/>
      <c r="AF63" s="107"/>
      <c r="AG63" s="107"/>
      <c r="AH63" s="109"/>
      <c r="AI63" s="109"/>
      <c r="AJ63" s="107"/>
      <c r="AK63" s="106"/>
    </row>
    <row r="64" spans="1:37" x14ac:dyDescent="0.2">
      <c r="A64" s="136"/>
      <c r="B64" s="133"/>
      <c r="C64" s="133"/>
      <c r="D64" s="133"/>
      <c r="E64" s="133"/>
      <c r="F64" s="133"/>
      <c r="G64" s="136"/>
      <c r="H64" s="139"/>
      <c r="I64" s="142"/>
      <c r="J64" s="145"/>
      <c r="K64" s="142"/>
      <c r="L64" s="139"/>
      <c r="M64" s="142"/>
      <c r="N64" s="148"/>
      <c r="O64" s="106">
        <v>7</v>
      </c>
      <c r="P64" s="120"/>
      <c r="Q64" s="110" t="str">
        <f t="shared" si="0"/>
        <v/>
      </c>
      <c r="R64" s="108"/>
      <c r="S64" s="108"/>
      <c r="T64" s="111" t="str">
        <f t="shared" si="6"/>
        <v/>
      </c>
      <c r="U64" s="121"/>
      <c r="V64" s="121"/>
      <c r="W64" s="121"/>
      <c r="X64" s="112" t="str">
        <f t="shared" si="7"/>
        <v/>
      </c>
      <c r="Y64" s="113" t="str">
        <f t="shared" si="8"/>
        <v/>
      </c>
      <c r="Z64" s="111" t="str">
        <f t="shared" si="9"/>
        <v/>
      </c>
      <c r="AA64" s="113" t="str">
        <f t="shared" si="10"/>
        <v/>
      </c>
      <c r="AB64" s="111" t="str">
        <f t="shared" si="11"/>
        <v/>
      </c>
      <c r="AC64" s="114" t="str">
        <f t="shared" si="12"/>
        <v/>
      </c>
      <c r="AD64" s="130"/>
      <c r="AE64" s="108"/>
      <c r="AF64" s="107"/>
      <c r="AG64" s="107"/>
      <c r="AH64" s="109"/>
      <c r="AI64" s="109"/>
      <c r="AJ64" s="107"/>
      <c r="AK64" s="106"/>
    </row>
    <row r="65" spans="1:37" ht="16.5" customHeight="1" x14ac:dyDescent="0.2">
      <c r="A65" s="134">
        <v>8</v>
      </c>
      <c r="B65" s="131"/>
      <c r="C65" s="131"/>
      <c r="D65" s="131"/>
      <c r="E65" s="131"/>
      <c r="F65" s="131"/>
      <c r="G65" s="134"/>
      <c r="H65" s="137" t="str">
        <f t="shared" ref="H65" si="43">IF(G65&lt;=0,"",IF(G65&lt;=2,"Muy Baja",IF(G65&lt;=24,"Baja",IF(G65&lt;=500,"Media",IF(G65&lt;=5000,"Alta","Muy Alta")))))</f>
        <v/>
      </c>
      <c r="I65" s="140" t="str">
        <f t="shared" ref="I65" si="44">IF(H65="","",IF(H65="Muy Baja",0.2,IF(H65="Baja",0.4,IF(H65="Media",0.6,IF(H65="Alta",0.8,IF(H65="Muy Alta",1,))))))</f>
        <v/>
      </c>
      <c r="J65" s="143"/>
      <c r="K65" s="140">
        <f>IF(NOT(ISERROR(MATCH(J65,'[1]Tabla Impacto'!$B$221:$B$223,0))),'[1]Tabla Impacto'!$F$223&amp;"Por favor no seleccionar los criterios de impacto(Afectación Económica o presupuestal y Pérdida Reputacional)",J65)</f>
        <v>0</v>
      </c>
      <c r="L65" s="137" t="str">
        <f>IF(OR(K65='[1]Tabla Impacto'!$C$11,K65='[1]Tabla Impacto'!$D$11),"Leve",IF(OR(K65='[1]Tabla Impacto'!$C$12,K65='[1]Tabla Impacto'!$D$12),"Menor",IF(OR(K65='[1]Tabla Impacto'!$C$13,K65='[1]Tabla Impacto'!$D$13),"Moderado",IF(OR(K65='[1]Tabla Impacto'!$C$14,K65='[1]Tabla Impacto'!$D$14),"Mayor",IF(OR(K65='[1]Tabla Impacto'!$C$15,K65='[1]Tabla Impacto'!$D$15),"Catastrófico","")))))</f>
        <v/>
      </c>
      <c r="M65" s="140" t="str">
        <f t="shared" ref="M65" si="45">IF(L65="","",IF(L65="Leve",0.2,IF(L65="Menor",0.4,IF(L65="Moderado",0.6,IF(L65="Mayor",0.8,IF(L65="Catastrófico",1,))))))</f>
        <v/>
      </c>
      <c r="N65" s="146" t="str">
        <f t="shared" ref="N65" si="46">IF(OR(AND(H65="Muy Baja",L65="Leve"),AND(H65="Muy Baja",L65="Menor"),AND(H65="Baja",L65="Leve")),"Bajo",IF(OR(AND(H65="Muy baja",L65="Moderado"),AND(H65="Baja",L65="Menor"),AND(H65="Baja",L65="Moderado"),AND(H65="Media",L65="Leve"),AND(H65="Media",L65="Menor"),AND(H65="Media",L65="Moderado"),AND(H65="Alta",L65="Leve"),AND(H65="Alta",L65="Menor")),"Moderado",IF(OR(AND(H65="Muy Baja",L65="Mayor"),AND(H65="Baja",L65="Mayor"),AND(H65="Media",L65="Mayor"),AND(H65="Alta",L65="Moderado"),AND(H65="Alta",L65="Mayor"),AND(H65="Muy Alta",L65="Leve"),AND(H65="Muy Alta",L65="Menor"),AND(H65="Muy Alta",L65="Moderado"),AND(H65="Muy Alta",L65="Mayor")),"Alto",IF(OR(AND(H65="Muy Baja",L65="Catastrófico"),AND(H65="Baja",L65="Catastrófico"),AND(H65="Media",L65="Catastrófico"),AND(H65="Alta",L65="Catastrófico"),AND(H65="Muy Alta",L65="Catastrófico")),"Extremo",""))))</f>
        <v/>
      </c>
      <c r="O65" s="106">
        <v>1</v>
      </c>
      <c r="P65" s="120"/>
      <c r="Q65" s="110" t="str">
        <f t="shared" si="0"/>
        <v/>
      </c>
      <c r="R65" s="108"/>
      <c r="S65" s="108"/>
      <c r="T65" s="111" t="str">
        <f t="shared" si="6"/>
        <v/>
      </c>
      <c r="U65" s="121"/>
      <c r="V65" s="121"/>
      <c r="W65" s="121"/>
      <c r="X65" s="112" t="str">
        <f t="shared" si="7"/>
        <v/>
      </c>
      <c r="Y65" s="113" t="str">
        <f t="shared" si="8"/>
        <v/>
      </c>
      <c r="Z65" s="111" t="str">
        <f t="shared" si="9"/>
        <v/>
      </c>
      <c r="AA65" s="113" t="str">
        <f t="shared" si="10"/>
        <v/>
      </c>
      <c r="AB65" s="111" t="str">
        <f t="shared" si="11"/>
        <v/>
      </c>
      <c r="AC65" s="114" t="str">
        <f t="shared" si="12"/>
        <v/>
      </c>
      <c r="AD65" s="128" t="b">
        <f t="shared" ref="AD65" si="47">IFERROR(IF(OR(AND(AC65="Bajo",AC66="Bajo",AC67="Bajo"),AND(AC65="Bajo",AC66="Bajo",AC67=""),AND(AC65="Bajo",AC66="",AC67="")),"Bajo",IF(OR(AND(AC65="Bajo",AC66="Bajo",AC67="Moderado"),AND(AC65="Bajo",AC66="Moderado",AC67="Moderado"),AND(AC65="Moderado",AC66="Moderado",AC67="Moderado"),AND(AC65="Bajo",AC66="Moderado",AC67=""),AND(AC65="Moderado",AC66="Bajo",AC67=""),AND(AC65="Moderado",AC66="Moderado",AC67=""),AND(AC65="Moderado",AC66="",AC67="")),"Moderado",IF(OR(AND(AC65="Bajo",AC66="Bajo",AC67="Alto"),AND(AC65="Bajo",AC66="Moderado",AC67="Alto"),AND(AC65="Moderado",AC66="Bajo",AC67="Alto"),AND(AC65="Moderado",AC66="Alto",AC67="Bajo"),AND(AC65="Moderado",AC66="Moderado",AC67="Alto"),AND(AC65="Alto",AC66="Bajo",AC67="Bajo"),AND(AC65="Alto",AC66="Moderado",AC67="Bajo"),AND(AC65="Alto",AC66="Moderado",AC67="Moderado"),AND(AC65="Alto",AC66="Alto",AC67="Bajo"),AND(AC65="Alto",AC66="Alto",AC67="Moderado"),AND(AC65="Alto",AC66="Alto",AC67="Alto"),AND(AC65="Alto",AC66="Bajo",AC67=""),AND(AC65="Alto",AC66="Moderado",AC67=""),AND(AC65="Alto",AC66="Alto",AC67=""),AND(AC65="Bajo",AC66="Alto",AC67=""),AND(AC65="Moderado",AC66="Alto",AC67=""),AND(AC65="Alto",AC66="",AC67="")),"Alto",IF(OR(AND(AC65="Bajo",AC66="Bajo",AC67="Extremo"),AND(AC65="Bajo",AC66="Moderado",AC67="Extremo"),AND(AC65="Bajo",AC66="Alto",AC67="Extremo"),AND(AC65="Moderado",AC66="Bajo",AC67="Extremo"),AND(AC65="Moderado",AC66="Alto",AC67="Extremo"),AND(AC65="Moderado",AC66="Moderado",AC67="Extremo"),AND(AC65="Alto",AC66="Bajo",AC67="Extremo"),AND(AC65="Alto",AC66="Moderado",AC67="Extremo"),AND(AC65="Alto",AC66="Alto",AC67="Extremo"),AND(AC65="Extremo",AC66="Bajo",AC67="Bajo"),AND(AC65="Extremo",AC66="Bajo",AC67="Moderado"),AND(AC65="Extremo",AC66="Bajo",AC67="Alto"),AND(AC65="Extremo",AC66="Moderado",AC67="Bajo"),AND(AC65="Extremo",AC66="Moderado",AC67="Moderado"),AND(AC65="Extremo",AC66="Moderado",AC67="Alto"),AND(AC65="Extremo",AC66="Alto",AC67="Bajo"),AND(AC65="Extremo",AC66="Alto",AC67="Moderado"),AND(AC65="Extremo",AC66="Alto",AC67="Alto"),AND(AC65="Extremo",AC66="Extremo",AC67="Bajo"),AND(AC65="Extremo",AC66="Extremo",AC67="Moderado"),AND(AC65="Extremo",AC66="Extremo",AC67="Alto"),AND(AC65="Extremo",AC66="Extremo",AC67="Extremo"),AND(AC65="Extremo",AC66="Bajo",AC67=""),AND(AC65="Extremo",AC66="Moderado",AC67=""),AND(AC65="Extremo",AC66="Alto",AC67=""),AND(AC65="Extremo",AC66="",AC67="")),"Extremo")))),"")</f>
        <v>0</v>
      </c>
      <c r="AE65" s="125"/>
      <c r="AF65" s="107"/>
      <c r="AG65" s="107"/>
      <c r="AH65" s="109"/>
      <c r="AI65" s="109"/>
      <c r="AJ65" s="107"/>
      <c r="AK65" s="106"/>
    </row>
    <row r="66" spans="1:37" x14ac:dyDescent="0.2">
      <c r="A66" s="135"/>
      <c r="B66" s="132"/>
      <c r="C66" s="132"/>
      <c r="D66" s="132"/>
      <c r="E66" s="132"/>
      <c r="F66" s="132"/>
      <c r="G66" s="135"/>
      <c r="H66" s="138"/>
      <c r="I66" s="141"/>
      <c r="J66" s="144"/>
      <c r="K66" s="141"/>
      <c r="L66" s="138"/>
      <c r="M66" s="141"/>
      <c r="N66" s="147"/>
      <c r="O66" s="106">
        <v>2</v>
      </c>
      <c r="P66" s="120"/>
      <c r="Q66" s="110" t="str">
        <f t="shared" si="0"/>
        <v/>
      </c>
      <c r="R66" s="108"/>
      <c r="S66" s="108"/>
      <c r="T66" s="111" t="str">
        <f t="shared" si="6"/>
        <v/>
      </c>
      <c r="U66" s="121"/>
      <c r="V66" s="121"/>
      <c r="W66" s="121"/>
      <c r="X66" s="112" t="str">
        <f t="shared" si="7"/>
        <v/>
      </c>
      <c r="Y66" s="113" t="str">
        <f t="shared" si="8"/>
        <v/>
      </c>
      <c r="Z66" s="111" t="str">
        <f t="shared" si="9"/>
        <v/>
      </c>
      <c r="AA66" s="113" t="str">
        <f t="shared" si="10"/>
        <v/>
      </c>
      <c r="AB66" s="111" t="str">
        <f t="shared" si="11"/>
        <v/>
      </c>
      <c r="AC66" s="114" t="str">
        <f t="shared" si="12"/>
        <v/>
      </c>
      <c r="AD66" s="129"/>
      <c r="AE66" s="126"/>
      <c r="AF66" s="107"/>
      <c r="AG66" s="107"/>
      <c r="AH66" s="109"/>
      <c r="AI66" s="109"/>
      <c r="AJ66" s="107"/>
      <c r="AK66" s="106"/>
    </row>
    <row r="67" spans="1:37" x14ac:dyDescent="0.2">
      <c r="A67" s="135"/>
      <c r="B67" s="132"/>
      <c r="C67" s="132"/>
      <c r="D67" s="132"/>
      <c r="E67" s="132"/>
      <c r="F67" s="132"/>
      <c r="G67" s="135"/>
      <c r="H67" s="138"/>
      <c r="I67" s="141"/>
      <c r="J67" s="144"/>
      <c r="K67" s="141"/>
      <c r="L67" s="138"/>
      <c r="M67" s="141"/>
      <c r="N67" s="147"/>
      <c r="O67" s="106">
        <v>3</v>
      </c>
      <c r="P67" s="120"/>
      <c r="Q67" s="110" t="str">
        <f t="shared" si="0"/>
        <v/>
      </c>
      <c r="R67" s="108"/>
      <c r="S67" s="108"/>
      <c r="T67" s="111" t="str">
        <f t="shared" si="6"/>
        <v/>
      </c>
      <c r="U67" s="121"/>
      <c r="V67" s="121"/>
      <c r="W67" s="121"/>
      <c r="X67" s="112" t="str">
        <f t="shared" si="7"/>
        <v/>
      </c>
      <c r="Y67" s="113" t="str">
        <f t="shared" si="8"/>
        <v/>
      </c>
      <c r="Z67" s="111" t="str">
        <f t="shared" si="9"/>
        <v/>
      </c>
      <c r="AA67" s="113" t="str">
        <f t="shared" si="10"/>
        <v/>
      </c>
      <c r="AB67" s="111" t="str">
        <f t="shared" si="11"/>
        <v/>
      </c>
      <c r="AC67" s="114" t="str">
        <f t="shared" si="12"/>
        <v/>
      </c>
      <c r="AD67" s="129"/>
      <c r="AE67" s="127"/>
      <c r="AF67" s="107"/>
      <c r="AG67" s="107"/>
      <c r="AH67" s="109"/>
      <c r="AI67" s="109"/>
      <c r="AJ67" s="107"/>
      <c r="AK67" s="106"/>
    </row>
    <row r="68" spans="1:37" x14ac:dyDescent="0.2">
      <c r="A68" s="135"/>
      <c r="B68" s="132"/>
      <c r="C68" s="132"/>
      <c r="D68" s="132"/>
      <c r="E68" s="132"/>
      <c r="F68" s="132"/>
      <c r="G68" s="135"/>
      <c r="H68" s="138"/>
      <c r="I68" s="141"/>
      <c r="J68" s="144"/>
      <c r="K68" s="141"/>
      <c r="L68" s="138"/>
      <c r="M68" s="141"/>
      <c r="N68" s="147"/>
      <c r="O68" s="106">
        <v>4</v>
      </c>
      <c r="P68" s="120"/>
      <c r="Q68" s="110" t="str">
        <f t="shared" si="0"/>
        <v/>
      </c>
      <c r="R68" s="108"/>
      <c r="S68" s="108"/>
      <c r="T68" s="111" t="str">
        <f t="shared" si="6"/>
        <v/>
      </c>
      <c r="U68" s="121"/>
      <c r="V68" s="121"/>
      <c r="W68" s="121"/>
      <c r="X68" s="112" t="str">
        <f t="shared" si="7"/>
        <v/>
      </c>
      <c r="Y68" s="113" t="str">
        <f t="shared" si="8"/>
        <v/>
      </c>
      <c r="Z68" s="111" t="str">
        <f t="shared" si="9"/>
        <v/>
      </c>
      <c r="AA68" s="113" t="str">
        <f t="shared" si="10"/>
        <v/>
      </c>
      <c r="AB68" s="111" t="str">
        <f t="shared" si="11"/>
        <v/>
      </c>
      <c r="AC68" s="114" t="str">
        <f t="shared" si="12"/>
        <v/>
      </c>
      <c r="AD68" s="129"/>
      <c r="AE68" s="108"/>
      <c r="AF68" s="107"/>
      <c r="AG68" s="107"/>
      <c r="AH68" s="109"/>
      <c r="AI68" s="109"/>
      <c r="AJ68" s="107"/>
      <c r="AK68" s="106"/>
    </row>
    <row r="69" spans="1:37" x14ac:dyDescent="0.2">
      <c r="A69" s="135"/>
      <c r="B69" s="132"/>
      <c r="C69" s="132"/>
      <c r="D69" s="132"/>
      <c r="E69" s="132"/>
      <c r="F69" s="132"/>
      <c r="G69" s="135"/>
      <c r="H69" s="138"/>
      <c r="I69" s="141"/>
      <c r="J69" s="144"/>
      <c r="K69" s="141"/>
      <c r="L69" s="138"/>
      <c r="M69" s="141"/>
      <c r="N69" s="147"/>
      <c r="O69" s="106">
        <v>5</v>
      </c>
      <c r="P69" s="120"/>
      <c r="Q69" s="110" t="str">
        <f t="shared" si="0"/>
        <v/>
      </c>
      <c r="R69" s="108"/>
      <c r="S69" s="108"/>
      <c r="T69" s="111" t="str">
        <f t="shared" si="6"/>
        <v/>
      </c>
      <c r="U69" s="121"/>
      <c r="V69" s="121"/>
      <c r="W69" s="121"/>
      <c r="X69" s="112" t="str">
        <f t="shared" si="7"/>
        <v/>
      </c>
      <c r="Y69" s="113" t="str">
        <f t="shared" si="8"/>
        <v/>
      </c>
      <c r="Z69" s="111" t="str">
        <f t="shared" si="9"/>
        <v/>
      </c>
      <c r="AA69" s="113" t="str">
        <f t="shared" si="10"/>
        <v/>
      </c>
      <c r="AB69" s="111" t="str">
        <f t="shared" si="11"/>
        <v/>
      </c>
      <c r="AC69" s="114" t="str">
        <f t="shared" si="12"/>
        <v/>
      </c>
      <c r="AD69" s="129"/>
      <c r="AE69" s="108"/>
      <c r="AF69" s="107"/>
      <c r="AG69" s="107"/>
      <c r="AH69" s="109"/>
      <c r="AI69" s="109"/>
      <c r="AJ69" s="107"/>
      <c r="AK69" s="106"/>
    </row>
    <row r="70" spans="1:37" x14ac:dyDescent="0.2">
      <c r="A70" s="135"/>
      <c r="B70" s="132"/>
      <c r="C70" s="132"/>
      <c r="D70" s="132"/>
      <c r="E70" s="132"/>
      <c r="F70" s="132"/>
      <c r="G70" s="135"/>
      <c r="H70" s="138"/>
      <c r="I70" s="141"/>
      <c r="J70" s="144"/>
      <c r="K70" s="141"/>
      <c r="L70" s="138"/>
      <c r="M70" s="141"/>
      <c r="N70" s="147"/>
      <c r="O70" s="106">
        <v>6</v>
      </c>
      <c r="P70" s="120"/>
      <c r="Q70" s="110" t="str">
        <f t="shared" si="0"/>
        <v/>
      </c>
      <c r="R70" s="108"/>
      <c r="S70" s="108"/>
      <c r="T70" s="111" t="str">
        <f t="shared" si="6"/>
        <v/>
      </c>
      <c r="U70" s="121"/>
      <c r="V70" s="121"/>
      <c r="W70" s="121"/>
      <c r="X70" s="112" t="str">
        <f t="shared" si="7"/>
        <v/>
      </c>
      <c r="Y70" s="113" t="str">
        <f t="shared" si="8"/>
        <v/>
      </c>
      <c r="Z70" s="111" t="str">
        <f t="shared" si="9"/>
        <v/>
      </c>
      <c r="AA70" s="113" t="str">
        <f t="shared" si="10"/>
        <v/>
      </c>
      <c r="AB70" s="111" t="str">
        <f t="shared" si="11"/>
        <v/>
      </c>
      <c r="AC70" s="114" t="str">
        <f t="shared" si="12"/>
        <v/>
      </c>
      <c r="AD70" s="129"/>
      <c r="AE70" s="108"/>
      <c r="AF70" s="107"/>
      <c r="AG70" s="107"/>
      <c r="AH70" s="109"/>
      <c r="AI70" s="109"/>
      <c r="AJ70" s="107"/>
      <c r="AK70" s="106"/>
    </row>
    <row r="71" spans="1:37" x14ac:dyDescent="0.2">
      <c r="A71" s="136"/>
      <c r="B71" s="133"/>
      <c r="C71" s="133"/>
      <c r="D71" s="133"/>
      <c r="E71" s="133"/>
      <c r="F71" s="133"/>
      <c r="G71" s="136"/>
      <c r="H71" s="139"/>
      <c r="I71" s="142"/>
      <c r="J71" s="145"/>
      <c r="K71" s="142"/>
      <c r="L71" s="139"/>
      <c r="M71" s="142"/>
      <c r="N71" s="148"/>
      <c r="O71" s="106">
        <v>7</v>
      </c>
      <c r="P71" s="120"/>
      <c r="Q71" s="110" t="str">
        <f t="shared" si="0"/>
        <v/>
      </c>
      <c r="R71" s="108"/>
      <c r="S71" s="108"/>
      <c r="T71" s="111" t="str">
        <f t="shared" si="6"/>
        <v/>
      </c>
      <c r="U71" s="121"/>
      <c r="V71" s="121"/>
      <c r="W71" s="121"/>
      <c r="X71" s="112" t="str">
        <f t="shared" si="7"/>
        <v/>
      </c>
      <c r="Y71" s="113" t="str">
        <f t="shared" si="8"/>
        <v/>
      </c>
      <c r="Z71" s="111" t="str">
        <f t="shared" si="9"/>
        <v/>
      </c>
      <c r="AA71" s="113" t="str">
        <f t="shared" si="10"/>
        <v/>
      </c>
      <c r="AB71" s="111" t="str">
        <f t="shared" si="11"/>
        <v/>
      </c>
      <c r="AC71" s="114" t="str">
        <f t="shared" si="12"/>
        <v/>
      </c>
      <c r="AD71" s="130"/>
      <c r="AE71" s="108"/>
      <c r="AF71" s="107"/>
      <c r="AG71" s="107"/>
      <c r="AH71" s="109"/>
      <c r="AI71" s="109"/>
      <c r="AJ71" s="107"/>
      <c r="AK71" s="106"/>
    </row>
    <row r="72" spans="1:37" ht="16.5" customHeight="1" x14ac:dyDescent="0.2">
      <c r="A72" s="134">
        <v>9</v>
      </c>
      <c r="B72" s="131"/>
      <c r="C72" s="131"/>
      <c r="D72" s="131"/>
      <c r="E72" s="131"/>
      <c r="F72" s="131"/>
      <c r="G72" s="134"/>
      <c r="H72" s="137" t="str">
        <f t="shared" ref="H72" si="48">IF(G72&lt;=0,"",IF(G72&lt;=2,"Muy Baja",IF(G72&lt;=24,"Baja",IF(G72&lt;=500,"Media",IF(G72&lt;=5000,"Alta","Muy Alta")))))</f>
        <v/>
      </c>
      <c r="I72" s="140" t="str">
        <f t="shared" ref="I72" si="49">IF(H72="","",IF(H72="Muy Baja",0.2,IF(H72="Baja",0.4,IF(H72="Media",0.6,IF(H72="Alta",0.8,IF(H72="Muy Alta",1,))))))</f>
        <v/>
      </c>
      <c r="J72" s="143"/>
      <c r="K72" s="140">
        <f>IF(NOT(ISERROR(MATCH(J72,'[1]Tabla Impacto'!$B$221:$B$223,0))),'[1]Tabla Impacto'!$F$223&amp;"Por favor no seleccionar los criterios de impacto(Afectación Económica o presupuestal y Pérdida Reputacional)",J72)</f>
        <v>0</v>
      </c>
      <c r="L72" s="137" t="str">
        <f>IF(OR(K72='[1]Tabla Impacto'!$C$11,K72='[1]Tabla Impacto'!$D$11),"Leve",IF(OR(K72='[1]Tabla Impacto'!$C$12,K72='[1]Tabla Impacto'!$D$12),"Menor",IF(OR(K72='[1]Tabla Impacto'!$C$13,K72='[1]Tabla Impacto'!$D$13),"Moderado",IF(OR(K72='[1]Tabla Impacto'!$C$14,K72='[1]Tabla Impacto'!$D$14),"Mayor",IF(OR(K72='[1]Tabla Impacto'!$C$15,K72='[1]Tabla Impacto'!$D$15),"Catastrófico","")))))</f>
        <v/>
      </c>
      <c r="M72" s="140" t="str">
        <f t="shared" ref="M72" si="50">IF(L72="","",IF(L72="Leve",0.2,IF(L72="Menor",0.4,IF(L72="Moderado",0.6,IF(L72="Mayor",0.8,IF(L72="Catastrófico",1,))))))</f>
        <v/>
      </c>
      <c r="N72" s="146" t="str">
        <f t="shared" ref="N72" si="51">IF(OR(AND(H72="Muy Baja",L72="Leve"),AND(H72="Muy Baja",L72="Menor"),AND(H72="Baja",L72="Leve")),"Bajo",IF(OR(AND(H72="Muy baja",L72="Moderado"),AND(H72="Baja",L72="Menor"),AND(H72="Baja",L72="Moderado"),AND(H72="Media",L72="Leve"),AND(H72="Media",L72="Menor"),AND(H72="Media",L72="Moderado"),AND(H72="Alta",L72="Leve"),AND(H72="Alta",L72="Menor")),"Moderado",IF(OR(AND(H72="Muy Baja",L72="Mayor"),AND(H72="Baja",L72="Mayor"),AND(H72="Media",L72="Mayor"),AND(H72="Alta",L72="Moderado"),AND(H72="Alta",L72="Mayor"),AND(H72="Muy Alta",L72="Leve"),AND(H72="Muy Alta",L72="Menor"),AND(H72="Muy Alta",L72="Moderado"),AND(H72="Muy Alta",L72="Mayor")),"Alto",IF(OR(AND(H72="Muy Baja",L72="Catastrófico"),AND(H72="Baja",L72="Catastrófico"),AND(H72="Media",L72="Catastrófico"),AND(H72="Alta",L72="Catastrófico"),AND(H72="Muy Alta",L72="Catastrófico")),"Extremo",""))))</f>
        <v/>
      </c>
      <c r="O72" s="106">
        <v>1</v>
      </c>
      <c r="P72" s="120"/>
      <c r="Q72" s="110" t="str">
        <f t="shared" si="0"/>
        <v/>
      </c>
      <c r="R72" s="108"/>
      <c r="S72" s="108"/>
      <c r="T72" s="111" t="str">
        <f t="shared" si="6"/>
        <v/>
      </c>
      <c r="U72" s="121"/>
      <c r="V72" s="121"/>
      <c r="W72" s="121"/>
      <c r="X72" s="112" t="str">
        <f t="shared" si="7"/>
        <v/>
      </c>
      <c r="Y72" s="113" t="str">
        <f t="shared" si="8"/>
        <v/>
      </c>
      <c r="Z72" s="111" t="str">
        <f t="shared" si="9"/>
        <v/>
      </c>
      <c r="AA72" s="113" t="str">
        <f t="shared" si="10"/>
        <v/>
      </c>
      <c r="AB72" s="111" t="str">
        <f t="shared" si="11"/>
        <v/>
      </c>
      <c r="AC72" s="114" t="str">
        <f t="shared" si="12"/>
        <v/>
      </c>
      <c r="AD72" s="128" t="b">
        <f t="shared" ref="AD72" si="52">IFERROR(IF(OR(AND(AC72="Bajo",AC73="Bajo",AC74="Bajo"),AND(AC72="Bajo",AC73="Bajo",AC74=""),AND(AC72="Bajo",AC73="",AC74="")),"Bajo",IF(OR(AND(AC72="Bajo",AC73="Bajo",AC74="Moderado"),AND(AC72="Bajo",AC73="Moderado",AC74="Moderado"),AND(AC72="Moderado",AC73="Moderado",AC74="Moderado"),AND(AC72="Bajo",AC73="Moderado",AC74=""),AND(AC72="Moderado",AC73="Bajo",AC74=""),AND(AC72="Moderado",AC73="Moderado",AC74=""),AND(AC72="Moderado",AC73="",AC74="")),"Moderado",IF(OR(AND(AC72="Bajo",AC73="Bajo",AC74="Alto"),AND(AC72="Bajo",AC73="Moderado",AC74="Alto"),AND(AC72="Moderado",AC73="Bajo",AC74="Alto"),AND(AC72="Moderado",AC73="Alto",AC74="Bajo"),AND(AC72="Moderado",AC73="Moderado",AC74="Alto"),AND(AC72="Alto",AC73="Bajo",AC74="Bajo"),AND(AC72="Alto",AC73="Moderado",AC74="Bajo"),AND(AC72="Alto",AC73="Moderado",AC74="Moderado"),AND(AC72="Alto",AC73="Alto",AC74="Bajo"),AND(AC72="Alto",AC73="Alto",AC74="Moderado"),AND(AC72="Alto",AC73="Alto",AC74="Alto"),AND(AC72="Alto",AC73="Bajo",AC74=""),AND(AC72="Alto",AC73="Moderado",AC74=""),AND(AC72="Alto",AC73="Alto",AC74=""),AND(AC72="Bajo",AC73="Alto",AC74=""),AND(AC72="Moderado",AC73="Alto",AC74=""),AND(AC72="Alto",AC73="",AC74="")),"Alto",IF(OR(AND(AC72="Bajo",AC73="Bajo",AC74="Extremo"),AND(AC72="Bajo",AC73="Moderado",AC74="Extremo"),AND(AC72="Bajo",AC73="Alto",AC74="Extremo"),AND(AC72="Moderado",AC73="Bajo",AC74="Extremo"),AND(AC72="Moderado",AC73="Alto",AC74="Extremo"),AND(AC72="Moderado",AC73="Moderado",AC74="Extremo"),AND(AC72="Alto",AC73="Bajo",AC74="Extremo"),AND(AC72="Alto",AC73="Moderado",AC74="Extremo"),AND(AC72="Alto",AC73="Alto",AC74="Extremo"),AND(AC72="Extremo",AC73="Bajo",AC74="Bajo"),AND(AC72="Extremo",AC73="Bajo",AC74="Moderado"),AND(AC72="Extremo",AC73="Bajo",AC74="Alto"),AND(AC72="Extremo",AC73="Moderado",AC74="Bajo"),AND(AC72="Extremo",AC73="Moderado",AC74="Moderado"),AND(AC72="Extremo",AC73="Moderado",AC74="Alto"),AND(AC72="Extremo",AC73="Alto",AC74="Bajo"),AND(AC72="Extremo",AC73="Alto",AC74="Moderado"),AND(AC72="Extremo",AC73="Alto",AC74="Alto"),AND(AC72="Extremo",AC73="Extremo",AC74="Bajo"),AND(AC72="Extremo",AC73="Extremo",AC74="Moderado"),AND(AC72="Extremo",AC73="Extremo",AC74="Alto"),AND(AC72="Extremo",AC73="Extremo",AC74="Extremo"),AND(AC72="Extremo",AC73="Bajo",AC74=""),AND(AC72="Extremo",AC73="Moderado",AC74=""),AND(AC72="Extremo",AC73="Alto",AC74=""),AND(AC72="Extremo",AC73="",AC74="")),"Extremo")))),"")</f>
        <v>0</v>
      </c>
      <c r="AE72" s="125"/>
      <c r="AF72" s="107"/>
      <c r="AG72" s="107"/>
      <c r="AH72" s="109"/>
      <c r="AI72" s="109"/>
      <c r="AJ72" s="107"/>
      <c r="AK72" s="106"/>
    </row>
    <row r="73" spans="1:37" x14ac:dyDescent="0.2">
      <c r="A73" s="135"/>
      <c r="B73" s="132"/>
      <c r="C73" s="132"/>
      <c r="D73" s="132"/>
      <c r="E73" s="132"/>
      <c r="F73" s="132"/>
      <c r="G73" s="135"/>
      <c r="H73" s="138"/>
      <c r="I73" s="141"/>
      <c r="J73" s="144"/>
      <c r="K73" s="141"/>
      <c r="L73" s="138"/>
      <c r="M73" s="141"/>
      <c r="N73" s="147"/>
      <c r="O73" s="106">
        <v>2</v>
      </c>
      <c r="P73" s="120"/>
      <c r="Q73" s="110" t="str">
        <f t="shared" si="0"/>
        <v/>
      </c>
      <c r="R73" s="108"/>
      <c r="S73" s="108"/>
      <c r="T73" s="111" t="str">
        <f t="shared" si="6"/>
        <v/>
      </c>
      <c r="U73" s="121"/>
      <c r="V73" s="121"/>
      <c r="W73" s="121"/>
      <c r="X73" s="112" t="str">
        <f t="shared" si="7"/>
        <v/>
      </c>
      <c r="Y73" s="113" t="str">
        <f t="shared" si="8"/>
        <v/>
      </c>
      <c r="Z73" s="111" t="str">
        <f t="shared" si="9"/>
        <v/>
      </c>
      <c r="AA73" s="113" t="str">
        <f t="shared" si="10"/>
        <v/>
      </c>
      <c r="AB73" s="111" t="str">
        <f t="shared" si="11"/>
        <v/>
      </c>
      <c r="AC73" s="114" t="str">
        <f t="shared" si="12"/>
        <v/>
      </c>
      <c r="AD73" s="129"/>
      <c r="AE73" s="126"/>
      <c r="AF73" s="107"/>
      <c r="AG73" s="107"/>
      <c r="AH73" s="109"/>
      <c r="AI73" s="109"/>
      <c r="AJ73" s="107"/>
      <c r="AK73" s="106"/>
    </row>
    <row r="74" spans="1:37" x14ac:dyDescent="0.2">
      <c r="A74" s="135"/>
      <c r="B74" s="132"/>
      <c r="C74" s="132"/>
      <c r="D74" s="132"/>
      <c r="E74" s="132"/>
      <c r="F74" s="132"/>
      <c r="G74" s="135"/>
      <c r="H74" s="138"/>
      <c r="I74" s="141"/>
      <c r="J74" s="144"/>
      <c r="K74" s="141"/>
      <c r="L74" s="138"/>
      <c r="M74" s="141"/>
      <c r="N74" s="147"/>
      <c r="O74" s="106">
        <v>3</v>
      </c>
      <c r="P74" s="120"/>
      <c r="Q74" s="110" t="str">
        <f t="shared" si="0"/>
        <v/>
      </c>
      <c r="R74" s="108"/>
      <c r="S74" s="108"/>
      <c r="T74" s="111" t="str">
        <f t="shared" si="6"/>
        <v/>
      </c>
      <c r="U74" s="121"/>
      <c r="V74" s="121"/>
      <c r="W74" s="121"/>
      <c r="X74" s="112" t="str">
        <f t="shared" si="7"/>
        <v/>
      </c>
      <c r="Y74" s="113" t="str">
        <f t="shared" si="8"/>
        <v/>
      </c>
      <c r="Z74" s="111" t="str">
        <f t="shared" si="9"/>
        <v/>
      </c>
      <c r="AA74" s="113" t="str">
        <f t="shared" si="10"/>
        <v/>
      </c>
      <c r="AB74" s="111" t="str">
        <f t="shared" si="11"/>
        <v/>
      </c>
      <c r="AC74" s="114" t="str">
        <f t="shared" si="12"/>
        <v/>
      </c>
      <c r="AD74" s="129"/>
      <c r="AE74" s="127"/>
      <c r="AF74" s="107"/>
      <c r="AG74" s="107"/>
      <c r="AH74" s="109"/>
      <c r="AI74" s="109"/>
      <c r="AJ74" s="107"/>
      <c r="AK74" s="106"/>
    </row>
    <row r="75" spans="1:37" ht="18.75" customHeight="1" x14ac:dyDescent="0.2">
      <c r="A75" s="135"/>
      <c r="B75" s="132"/>
      <c r="C75" s="132"/>
      <c r="D75" s="132"/>
      <c r="E75" s="132"/>
      <c r="F75" s="132"/>
      <c r="G75" s="135"/>
      <c r="H75" s="138"/>
      <c r="I75" s="141"/>
      <c r="J75" s="144"/>
      <c r="K75" s="141"/>
      <c r="L75" s="138"/>
      <c r="M75" s="141"/>
      <c r="N75" s="147"/>
      <c r="O75" s="106">
        <v>4</v>
      </c>
      <c r="P75" s="120"/>
      <c r="Q75" s="110" t="str">
        <f t="shared" si="0"/>
        <v/>
      </c>
      <c r="R75" s="108"/>
      <c r="S75" s="108"/>
      <c r="T75" s="111" t="str">
        <f t="shared" si="6"/>
        <v/>
      </c>
      <c r="U75" s="121"/>
      <c r="V75" s="121"/>
      <c r="W75" s="121"/>
      <c r="X75" s="112" t="str">
        <f t="shared" si="7"/>
        <v/>
      </c>
      <c r="Y75" s="113" t="str">
        <f t="shared" si="8"/>
        <v/>
      </c>
      <c r="Z75" s="111" t="str">
        <f t="shared" si="9"/>
        <v/>
      </c>
      <c r="AA75" s="113" t="str">
        <f t="shared" si="10"/>
        <v/>
      </c>
      <c r="AB75" s="111" t="str">
        <f t="shared" si="11"/>
        <v/>
      </c>
      <c r="AC75" s="114" t="str">
        <f t="shared" si="12"/>
        <v/>
      </c>
      <c r="AD75" s="129"/>
      <c r="AE75" s="108"/>
      <c r="AF75" s="107"/>
      <c r="AG75" s="107"/>
      <c r="AH75" s="109"/>
      <c r="AI75" s="109"/>
      <c r="AJ75" s="107"/>
      <c r="AK75" s="106"/>
    </row>
    <row r="76" spans="1:37" ht="18.75" customHeight="1" x14ac:dyDescent="0.2">
      <c r="A76" s="135"/>
      <c r="B76" s="132"/>
      <c r="C76" s="132"/>
      <c r="D76" s="132"/>
      <c r="E76" s="132"/>
      <c r="F76" s="132"/>
      <c r="G76" s="135"/>
      <c r="H76" s="138"/>
      <c r="I76" s="141"/>
      <c r="J76" s="144"/>
      <c r="K76" s="141"/>
      <c r="L76" s="138"/>
      <c r="M76" s="141"/>
      <c r="N76" s="147"/>
      <c r="O76" s="106">
        <v>5</v>
      </c>
      <c r="P76" s="120"/>
      <c r="Q76" s="110" t="str">
        <f t="shared" si="0"/>
        <v/>
      </c>
      <c r="R76" s="108"/>
      <c r="S76" s="108"/>
      <c r="T76" s="111" t="str">
        <f t="shared" si="6"/>
        <v/>
      </c>
      <c r="U76" s="121"/>
      <c r="V76" s="121"/>
      <c r="W76" s="121"/>
      <c r="X76" s="112" t="str">
        <f t="shared" si="7"/>
        <v/>
      </c>
      <c r="Y76" s="113" t="str">
        <f t="shared" si="8"/>
        <v/>
      </c>
      <c r="Z76" s="111" t="str">
        <f t="shared" si="9"/>
        <v/>
      </c>
      <c r="AA76" s="113" t="str">
        <f t="shared" si="10"/>
        <v/>
      </c>
      <c r="AB76" s="111" t="str">
        <f t="shared" si="11"/>
        <v/>
      </c>
      <c r="AC76" s="114" t="str">
        <f t="shared" si="12"/>
        <v/>
      </c>
      <c r="AD76" s="129"/>
      <c r="AE76" s="108"/>
      <c r="AF76" s="107"/>
      <c r="AG76" s="107"/>
      <c r="AH76" s="109"/>
      <c r="AI76" s="109"/>
      <c r="AJ76" s="107"/>
      <c r="AK76" s="106"/>
    </row>
    <row r="77" spans="1:37" ht="18.75" customHeight="1" x14ac:dyDescent="0.2">
      <c r="A77" s="135"/>
      <c r="B77" s="132"/>
      <c r="C77" s="132"/>
      <c r="D77" s="132"/>
      <c r="E77" s="132"/>
      <c r="F77" s="132"/>
      <c r="G77" s="135"/>
      <c r="H77" s="138"/>
      <c r="I77" s="141"/>
      <c r="J77" s="144"/>
      <c r="K77" s="141"/>
      <c r="L77" s="138"/>
      <c r="M77" s="141"/>
      <c r="N77" s="147"/>
      <c r="O77" s="106">
        <v>6</v>
      </c>
      <c r="P77" s="120"/>
      <c r="Q77" s="110" t="str">
        <f t="shared" si="0"/>
        <v/>
      </c>
      <c r="R77" s="108"/>
      <c r="S77" s="108"/>
      <c r="T77" s="111" t="str">
        <f t="shared" si="6"/>
        <v/>
      </c>
      <c r="U77" s="121"/>
      <c r="V77" s="121"/>
      <c r="W77" s="121"/>
      <c r="X77" s="112" t="str">
        <f t="shared" si="7"/>
        <v/>
      </c>
      <c r="Y77" s="113" t="str">
        <f t="shared" si="8"/>
        <v/>
      </c>
      <c r="Z77" s="111" t="str">
        <f t="shared" si="9"/>
        <v/>
      </c>
      <c r="AA77" s="113" t="str">
        <f t="shared" si="10"/>
        <v/>
      </c>
      <c r="AB77" s="111" t="str">
        <f t="shared" si="11"/>
        <v/>
      </c>
      <c r="AC77" s="114" t="str">
        <f t="shared" si="12"/>
        <v/>
      </c>
      <c r="AD77" s="129"/>
      <c r="AE77" s="108"/>
      <c r="AF77" s="107"/>
      <c r="AG77" s="107"/>
      <c r="AH77" s="109"/>
      <c r="AI77" s="109"/>
      <c r="AJ77" s="107"/>
      <c r="AK77" s="106"/>
    </row>
    <row r="78" spans="1:37" ht="18.75" customHeight="1" x14ac:dyDescent="0.2">
      <c r="A78" s="136"/>
      <c r="B78" s="133"/>
      <c r="C78" s="133"/>
      <c r="D78" s="133"/>
      <c r="E78" s="133"/>
      <c r="F78" s="133"/>
      <c r="G78" s="136"/>
      <c r="H78" s="139"/>
      <c r="I78" s="142"/>
      <c r="J78" s="145"/>
      <c r="K78" s="142"/>
      <c r="L78" s="139"/>
      <c r="M78" s="142"/>
      <c r="N78" s="148"/>
      <c r="O78" s="106">
        <v>7</v>
      </c>
      <c r="P78" s="120"/>
      <c r="Q78" s="110" t="str">
        <f t="shared" si="0"/>
        <v/>
      </c>
      <c r="R78" s="108"/>
      <c r="S78" s="108"/>
      <c r="T78" s="111" t="str">
        <f t="shared" si="6"/>
        <v/>
      </c>
      <c r="U78" s="121"/>
      <c r="V78" s="121"/>
      <c r="W78" s="121"/>
      <c r="X78" s="112" t="str">
        <f t="shared" si="7"/>
        <v/>
      </c>
      <c r="Y78" s="113" t="str">
        <f t="shared" si="8"/>
        <v/>
      </c>
      <c r="Z78" s="111" t="str">
        <f t="shared" si="9"/>
        <v/>
      </c>
      <c r="AA78" s="113" t="str">
        <f t="shared" si="10"/>
        <v/>
      </c>
      <c r="AB78" s="111" t="str">
        <f t="shared" si="11"/>
        <v/>
      </c>
      <c r="AC78" s="114" t="str">
        <f t="shared" si="12"/>
        <v/>
      </c>
      <c r="AD78" s="130"/>
      <c r="AE78" s="108"/>
      <c r="AF78" s="107"/>
      <c r="AG78" s="107"/>
      <c r="AH78" s="109"/>
      <c r="AI78" s="109"/>
      <c r="AJ78" s="107"/>
      <c r="AK78" s="106"/>
    </row>
    <row r="79" spans="1:37" ht="16.5" customHeight="1" x14ac:dyDescent="0.2">
      <c r="A79" s="134">
        <v>10</v>
      </c>
      <c r="B79" s="131"/>
      <c r="C79" s="131"/>
      <c r="D79" s="131"/>
      <c r="E79" s="131"/>
      <c r="F79" s="131"/>
      <c r="G79" s="134"/>
      <c r="H79" s="137" t="str">
        <f t="shared" ref="H79" si="53">IF(G79&lt;=0,"",IF(G79&lt;=2,"Muy Baja",IF(G79&lt;=24,"Baja",IF(G79&lt;=500,"Media",IF(G79&lt;=5000,"Alta","Muy Alta")))))</f>
        <v/>
      </c>
      <c r="I79" s="140" t="str">
        <f t="shared" ref="I79" si="54">IF(H79="","",IF(H79="Muy Baja",0.2,IF(H79="Baja",0.4,IF(H79="Media",0.6,IF(H79="Alta",0.8,IF(H79="Muy Alta",1,))))))</f>
        <v/>
      </c>
      <c r="J79" s="143"/>
      <c r="K79" s="140">
        <f>IF(NOT(ISERROR(MATCH(J79,'[1]Tabla Impacto'!$B$221:$B$223,0))),'[1]Tabla Impacto'!$F$223&amp;"Por favor no seleccionar los criterios de impacto(Afectación Económica o presupuestal y Pérdida Reputacional)",J79)</f>
        <v>0</v>
      </c>
      <c r="L79" s="137" t="str">
        <f>IF(OR(K79='[1]Tabla Impacto'!$C$11,K79='[1]Tabla Impacto'!$D$11),"Leve",IF(OR(K79='[1]Tabla Impacto'!$C$12,K79='[1]Tabla Impacto'!$D$12),"Menor",IF(OR(K79='[1]Tabla Impacto'!$C$13,K79='[1]Tabla Impacto'!$D$13),"Moderado",IF(OR(K79='[1]Tabla Impacto'!$C$14,K79='[1]Tabla Impacto'!$D$14),"Mayor",IF(OR(K79='[1]Tabla Impacto'!$C$15,K79='[1]Tabla Impacto'!$D$15),"Catastrófico","")))))</f>
        <v/>
      </c>
      <c r="M79" s="140" t="str">
        <f t="shared" ref="M79" si="55">IF(L79="","",IF(L79="Leve",0.2,IF(L79="Menor",0.4,IF(L79="Moderado",0.6,IF(L79="Mayor",0.8,IF(L79="Catastrófico",1,))))))</f>
        <v/>
      </c>
      <c r="N79" s="146" t="str">
        <f t="shared" ref="N79" si="56">IF(OR(AND(H79="Muy Baja",L79="Leve"),AND(H79="Muy Baja",L79="Menor"),AND(H79="Baja",L79="Leve")),"Bajo",IF(OR(AND(H79="Muy baja",L79="Moderado"),AND(H79="Baja",L79="Menor"),AND(H79="Baja",L79="Moderado"),AND(H79="Media",L79="Leve"),AND(H79="Media",L79="Menor"),AND(H79="Media",L79="Moderado"),AND(H79="Alta",L79="Leve"),AND(H79="Alta",L79="Menor")),"Moderado",IF(OR(AND(H79="Muy Baja",L79="Mayor"),AND(H79="Baja",L79="Mayor"),AND(H79="Media",L79="Mayor"),AND(H79="Alta",L79="Moderado"),AND(H79="Alta",L79="Mayor"),AND(H79="Muy Alta",L79="Leve"),AND(H79="Muy Alta",L79="Menor"),AND(H79="Muy Alta",L79="Moderado"),AND(H79="Muy Alta",L79="Mayor")),"Alto",IF(OR(AND(H79="Muy Baja",L79="Catastrófico"),AND(H79="Baja",L79="Catastrófico"),AND(H79="Media",L79="Catastrófico"),AND(H79="Alta",L79="Catastrófico"),AND(H79="Muy Alta",L79="Catastrófico")),"Extremo",""))))</f>
        <v/>
      </c>
      <c r="O79" s="106">
        <v>1</v>
      </c>
      <c r="P79" s="120"/>
      <c r="Q79" s="110" t="str">
        <f t="shared" si="0"/>
        <v/>
      </c>
      <c r="R79" s="108"/>
      <c r="S79" s="108"/>
      <c r="T79" s="111" t="str">
        <f t="shared" si="6"/>
        <v/>
      </c>
      <c r="U79" s="121"/>
      <c r="V79" s="121"/>
      <c r="W79" s="121"/>
      <c r="X79" s="112" t="str">
        <f t="shared" si="7"/>
        <v/>
      </c>
      <c r="Y79" s="113" t="str">
        <f t="shared" si="8"/>
        <v/>
      </c>
      <c r="Z79" s="111" t="str">
        <f t="shared" si="9"/>
        <v/>
      </c>
      <c r="AA79" s="113" t="str">
        <f t="shared" si="10"/>
        <v/>
      </c>
      <c r="AB79" s="111" t="str">
        <f t="shared" si="11"/>
        <v/>
      </c>
      <c r="AC79" s="114" t="str">
        <f t="shared" si="12"/>
        <v/>
      </c>
      <c r="AD79" s="128" t="b">
        <f t="shared" ref="AD79" si="57">IFERROR(IF(OR(AND(AC79="Bajo",AC80="Bajo",AC81="Bajo"),AND(AC79="Bajo",AC80="Bajo",AC81=""),AND(AC79="Bajo",AC80="",AC81="")),"Bajo",IF(OR(AND(AC79="Bajo",AC80="Bajo",AC81="Moderado"),AND(AC79="Bajo",AC80="Moderado",AC81="Moderado"),AND(AC79="Moderado",AC80="Moderado",AC81="Moderado"),AND(AC79="Bajo",AC80="Moderado",AC81=""),AND(AC79="Moderado",AC80="Bajo",AC81=""),AND(AC79="Moderado",AC80="Moderado",AC81=""),AND(AC79="Moderado",AC80="",AC81="")),"Moderado",IF(OR(AND(AC79="Bajo",AC80="Bajo",AC81="Alto"),AND(AC79="Bajo",AC80="Moderado",AC81="Alto"),AND(AC79="Moderado",AC80="Bajo",AC81="Alto"),AND(AC79="Moderado",AC80="Alto",AC81="Bajo"),AND(AC79="Moderado",AC80="Moderado",AC81="Alto"),AND(AC79="Alto",AC80="Bajo",AC81="Bajo"),AND(AC79="Alto",AC80="Moderado",AC81="Bajo"),AND(AC79="Alto",AC80="Moderado",AC81="Moderado"),AND(AC79="Alto",AC80="Alto",AC81="Bajo"),AND(AC79="Alto",AC80="Alto",AC81="Moderado"),AND(AC79="Alto",AC80="Alto",AC81="Alto"),AND(AC79="Alto",AC80="Bajo",AC81=""),AND(AC79="Alto",AC80="Moderado",AC81=""),AND(AC79="Alto",AC80="Alto",AC81=""),AND(AC79="Bajo",AC80="Alto",AC81=""),AND(AC79="Moderado",AC80="Alto",AC81=""),AND(AC79="Alto",AC80="",AC81="")),"Alto",IF(OR(AND(AC79="Bajo",AC80="Bajo",AC81="Extremo"),AND(AC79="Bajo",AC80="Moderado",AC81="Extremo"),AND(AC79="Bajo",AC80="Alto",AC81="Extremo"),AND(AC79="Moderado",AC80="Bajo",AC81="Extremo"),AND(AC79="Moderado",AC80="Alto",AC81="Extremo"),AND(AC79="Moderado",AC80="Moderado",AC81="Extremo"),AND(AC79="Alto",AC80="Bajo",AC81="Extremo"),AND(AC79="Alto",AC80="Moderado",AC81="Extremo"),AND(AC79="Alto",AC80="Alto",AC81="Extremo"),AND(AC79="Extremo",AC80="Bajo",AC81="Bajo"),AND(AC79="Extremo",AC80="Bajo",AC81="Moderado"),AND(AC79="Extremo",AC80="Bajo",AC81="Alto"),AND(AC79="Extremo",AC80="Moderado",AC81="Bajo"),AND(AC79="Extremo",AC80="Moderado",AC81="Moderado"),AND(AC79="Extremo",AC80="Moderado",AC81="Alto"),AND(AC79="Extremo",AC80="Alto",AC81="Bajo"),AND(AC79="Extremo",AC80="Alto",AC81="Moderado"),AND(AC79="Extremo",AC80="Alto",AC81="Alto"),AND(AC79="Extremo",AC80="Extremo",AC81="Bajo"),AND(AC79="Extremo",AC80="Extremo",AC81="Moderado"),AND(AC79="Extremo",AC80="Extremo",AC81="Alto"),AND(AC79="Extremo",AC80="Extremo",AC81="Extremo"),AND(AC79="Extremo",AC80="Bajo",AC81=""),AND(AC79="Extremo",AC80="Moderado",AC81=""),AND(AC79="Extremo",AC80="Alto",AC81=""),AND(AC79="Extremo",AC80="",AC81="")),"Extremo")))),"")</f>
        <v>0</v>
      </c>
      <c r="AE79" s="125"/>
      <c r="AF79" s="107"/>
      <c r="AG79" s="107"/>
      <c r="AH79" s="109"/>
      <c r="AI79" s="109"/>
      <c r="AJ79" s="107"/>
      <c r="AK79" s="106"/>
    </row>
    <row r="80" spans="1:37" x14ac:dyDescent="0.2">
      <c r="A80" s="135"/>
      <c r="B80" s="132"/>
      <c r="C80" s="132"/>
      <c r="D80" s="132"/>
      <c r="E80" s="132"/>
      <c r="F80" s="132"/>
      <c r="G80" s="135"/>
      <c r="H80" s="138"/>
      <c r="I80" s="141"/>
      <c r="J80" s="144"/>
      <c r="K80" s="141"/>
      <c r="L80" s="138"/>
      <c r="M80" s="141"/>
      <c r="N80" s="147"/>
      <c r="O80" s="106">
        <v>2</v>
      </c>
      <c r="P80" s="120"/>
      <c r="Q80" s="110" t="str">
        <f t="shared" ref="Q80:Q127" si="58">IF(OR(R80="Preventivo",R80="Detectivo"),"Probabilidad",IF(R80="Correctivo","Impacto",""))</f>
        <v/>
      </c>
      <c r="R80" s="108"/>
      <c r="S80" s="108"/>
      <c r="T80" s="111" t="str">
        <f t="shared" si="6"/>
        <v/>
      </c>
      <c r="U80" s="121"/>
      <c r="V80" s="121"/>
      <c r="W80" s="121"/>
      <c r="X80" s="112" t="str">
        <f t="shared" si="7"/>
        <v/>
      </c>
      <c r="Y80" s="113" t="str">
        <f t="shared" si="8"/>
        <v/>
      </c>
      <c r="Z80" s="111" t="str">
        <f t="shared" si="9"/>
        <v/>
      </c>
      <c r="AA80" s="113" t="str">
        <f t="shared" si="10"/>
        <v/>
      </c>
      <c r="AB80" s="111" t="str">
        <f t="shared" si="11"/>
        <v/>
      </c>
      <c r="AC80" s="114" t="str">
        <f t="shared" si="12"/>
        <v/>
      </c>
      <c r="AD80" s="129"/>
      <c r="AE80" s="126"/>
      <c r="AF80" s="107"/>
      <c r="AG80" s="107"/>
      <c r="AH80" s="109"/>
      <c r="AI80" s="109"/>
      <c r="AJ80" s="107"/>
      <c r="AK80" s="106"/>
    </row>
    <row r="81" spans="1:37" x14ac:dyDescent="0.2">
      <c r="A81" s="135"/>
      <c r="B81" s="132"/>
      <c r="C81" s="132"/>
      <c r="D81" s="132"/>
      <c r="E81" s="132"/>
      <c r="F81" s="132"/>
      <c r="G81" s="135"/>
      <c r="H81" s="138"/>
      <c r="I81" s="141"/>
      <c r="J81" s="144"/>
      <c r="K81" s="141"/>
      <c r="L81" s="138"/>
      <c r="M81" s="141"/>
      <c r="N81" s="147"/>
      <c r="O81" s="106">
        <v>3</v>
      </c>
      <c r="P81" s="120"/>
      <c r="Q81" s="110" t="str">
        <f t="shared" si="58"/>
        <v/>
      </c>
      <c r="R81" s="108"/>
      <c r="S81" s="108"/>
      <c r="T81" s="111" t="str">
        <f t="shared" ref="T81:T127" si="59">IF(AND(R81="Preventivo",S81="Automático"),"50%",IF(AND(R81="Preventivo",S81="Manual"),"40%",IF(AND(R81="Detectivo",S81="Automático"),"40%",IF(AND(R81="Detectivo",S81="Manual"),"30%",IF(AND(R81="Correctivo",S81="Automático"),"35%",IF(AND(R81="Correctivo",S81="Manual"),"25%",""))))))</f>
        <v/>
      </c>
      <c r="U81" s="121"/>
      <c r="V81" s="121"/>
      <c r="W81" s="121"/>
      <c r="X81" s="112" t="str">
        <f t="shared" ref="X81:X127" si="60">IFERROR(IF(Q81="Probabilidad",(I81-(+I81*T81)),IF(Q81="Impacto",I81,"")),"")</f>
        <v/>
      </c>
      <c r="Y81" s="113" t="str">
        <f t="shared" ref="Y81:Y127" si="61">IFERROR(IF(X81="","",IF(X81&lt;=0.2,"Muy Baja",IF(X81&lt;=0.4,"Baja",IF(X81&lt;=0.6,"Media",IF(X81&lt;=0.8,"Alta","Muy Alta"))))),"")</f>
        <v/>
      </c>
      <c r="Z81" s="111" t="str">
        <f t="shared" ref="Z81:Z127" si="62">+X81</f>
        <v/>
      </c>
      <c r="AA81" s="113" t="str">
        <f t="shared" ref="AA81:AA127" si="63">IFERROR(IF(AB81="","",IF(AB81&lt;=0.2,"Leve",IF(AB81&lt;=0.4,"Menor",IF(AB81&lt;=0.6,"Moderado",IF(AB81&lt;=0.8,"Mayor","Catastrófico"))))),"")</f>
        <v/>
      </c>
      <c r="AB81" s="111" t="str">
        <f t="shared" ref="AB81:AB127" si="64">IFERROR(IF(Q81="Impacto",(M81-(+M81*T81)),IF(Q81="Probabilidad",M81,"")),"")</f>
        <v/>
      </c>
      <c r="AC81" s="114" t="str">
        <f t="shared" ref="AC81:AC127" si="65">IFERROR(IF(OR(AND(Y81="Muy Baja",AA81="Leve"),AND(Y81="Muy Baja",AA81="Menor"),AND(Y81="Baja",AA81="Leve")),"Bajo",IF(OR(AND(Y81="Muy baja",AA81="Moderado"),AND(Y81="Baja",AA81="Menor"),AND(Y81="Baja",AA81="Moderado"),AND(Y81="Media",AA81="Leve"),AND(Y81="Media",AA81="Menor"),AND(Y81="Media",AA81="Moderado"),AND(Y81="Alta",AA81="Leve"),AND(Y81="Alta",AA81="Menor")),"Moderado",IF(OR(AND(Y81="Muy Baja",AA81="Mayor"),AND(Y81="Baja",AA81="Mayor"),AND(Y81="Media",AA81="Mayor"),AND(Y81="Alta",AA81="Moderado"),AND(Y81="Alta",AA81="Mayor"),AND(Y81="Muy Alta",AA81="Leve"),AND(Y81="Muy Alta",AA81="Menor"),AND(Y81="Muy Alta",AA81="Moderado"),AND(Y81="Muy Alta",AA81="Mayor")),"Alto",IF(OR(AND(Y81="Muy Baja",AA81="Catastrófico"),AND(Y81="Baja",AA81="Catastrófico"),AND(Y81="Media",AA81="Catastrófico"),AND(Y81="Alta",AA81="Catastrófico"),AND(Y81="Muy Alta",AA81="Catastrófico")),"Extremo","")))),"")</f>
        <v/>
      </c>
      <c r="AD81" s="129"/>
      <c r="AE81" s="127"/>
      <c r="AF81" s="107"/>
      <c r="AG81" s="107"/>
      <c r="AH81" s="109"/>
      <c r="AI81" s="109"/>
      <c r="AJ81" s="107"/>
      <c r="AK81" s="106"/>
    </row>
    <row r="82" spans="1:37" ht="16.5" customHeight="1" x14ac:dyDescent="0.2">
      <c r="A82" s="135"/>
      <c r="B82" s="132"/>
      <c r="C82" s="132"/>
      <c r="D82" s="132"/>
      <c r="E82" s="132"/>
      <c r="F82" s="132"/>
      <c r="G82" s="135"/>
      <c r="H82" s="138"/>
      <c r="I82" s="141"/>
      <c r="J82" s="144"/>
      <c r="K82" s="141"/>
      <c r="L82" s="138"/>
      <c r="M82" s="141"/>
      <c r="N82" s="147"/>
      <c r="O82" s="106">
        <v>4</v>
      </c>
      <c r="P82" s="120"/>
      <c r="Q82" s="110" t="str">
        <f t="shared" si="58"/>
        <v/>
      </c>
      <c r="R82" s="108"/>
      <c r="S82" s="108"/>
      <c r="T82" s="111" t="str">
        <f t="shared" si="59"/>
        <v/>
      </c>
      <c r="U82" s="121"/>
      <c r="V82" s="121"/>
      <c r="W82" s="121"/>
      <c r="X82" s="112" t="str">
        <f t="shared" si="60"/>
        <v/>
      </c>
      <c r="Y82" s="113" t="str">
        <f t="shared" si="61"/>
        <v/>
      </c>
      <c r="Z82" s="111" t="str">
        <f t="shared" si="62"/>
        <v/>
      </c>
      <c r="AA82" s="113" t="str">
        <f t="shared" si="63"/>
        <v/>
      </c>
      <c r="AB82" s="111" t="str">
        <f t="shared" si="64"/>
        <v/>
      </c>
      <c r="AC82" s="114" t="str">
        <f t="shared" si="65"/>
        <v/>
      </c>
      <c r="AD82" s="129"/>
      <c r="AE82" s="108"/>
      <c r="AF82" s="107"/>
      <c r="AG82" s="107"/>
      <c r="AH82" s="109"/>
      <c r="AI82" s="109"/>
      <c r="AJ82" s="107"/>
      <c r="AK82" s="106"/>
    </row>
    <row r="83" spans="1:37" ht="16.5" customHeight="1" x14ac:dyDescent="0.2">
      <c r="A83" s="135"/>
      <c r="B83" s="132"/>
      <c r="C83" s="132"/>
      <c r="D83" s="132"/>
      <c r="E83" s="132"/>
      <c r="F83" s="132"/>
      <c r="G83" s="135"/>
      <c r="H83" s="138"/>
      <c r="I83" s="141"/>
      <c r="J83" s="144"/>
      <c r="K83" s="141"/>
      <c r="L83" s="138"/>
      <c r="M83" s="141"/>
      <c r="N83" s="147"/>
      <c r="O83" s="106">
        <v>5</v>
      </c>
      <c r="P83" s="120"/>
      <c r="Q83" s="110" t="str">
        <f t="shared" si="58"/>
        <v/>
      </c>
      <c r="R83" s="108"/>
      <c r="S83" s="108"/>
      <c r="T83" s="111" t="str">
        <f t="shared" si="59"/>
        <v/>
      </c>
      <c r="U83" s="121"/>
      <c r="V83" s="121"/>
      <c r="W83" s="121"/>
      <c r="X83" s="112" t="str">
        <f t="shared" si="60"/>
        <v/>
      </c>
      <c r="Y83" s="113" t="str">
        <f t="shared" si="61"/>
        <v/>
      </c>
      <c r="Z83" s="111" t="str">
        <f t="shared" si="62"/>
        <v/>
      </c>
      <c r="AA83" s="113" t="str">
        <f t="shared" si="63"/>
        <v/>
      </c>
      <c r="AB83" s="111" t="str">
        <f t="shared" si="64"/>
        <v/>
      </c>
      <c r="AC83" s="114" t="str">
        <f t="shared" si="65"/>
        <v/>
      </c>
      <c r="AD83" s="129"/>
      <c r="AE83" s="108"/>
      <c r="AF83" s="107"/>
      <c r="AG83" s="107"/>
      <c r="AH83" s="109"/>
      <c r="AI83" s="109"/>
      <c r="AJ83" s="107"/>
      <c r="AK83" s="106"/>
    </row>
    <row r="84" spans="1:37" ht="16.5" customHeight="1" x14ac:dyDescent="0.2">
      <c r="A84" s="135"/>
      <c r="B84" s="132"/>
      <c r="C84" s="132"/>
      <c r="D84" s="132"/>
      <c r="E84" s="132"/>
      <c r="F84" s="132"/>
      <c r="G84" s="135"/>
      <c r="H84" s="138"/>
      <c r="I84" s="141"/>
      <c r="J84" s="144"/>
      <c r="K84" s="141"/>
      <c r="L84" s="138"/>
      <c r="M84" s="141"/>
      <c r="N84" s="147"/>
      <c r="O84" s="106">
        <v>6</v>
      </c>
      <c r="P84" s="120"/>
      <c r="Q84" s="110" t="str">
        <f t="shared" si="58"/>
        <v/>
      </c>
      <c r="R84" s="108"/>
      <c r="S84" s="108"/>
      <c r="T84" s="111" t="str">
        <f t="shared" si="59"/>
        <v/>
      </c>
      <c r="U84" s="121"/>
      <c r="V84" s="121"/>
      <c r="W84" s="121"/>
      <c r="X84" s="112" t="str">
        <f t="shared" si="60"/>
        <v/>
      </c>
      <c r="Y84" s="113" t="str">
        <f t="shared" si="61"/>
        <v/>
      </c>
      <c r="Z84" s="111" t="str">
        <f t="shared" si="62"/>
        <v/>
      </c>
      <c r="AA84" s="113" t="str">
        <f t="shared" si="63"/>
        <v/>
      </c>
      <c r="AB84" s="111" t="str">
        <f t="shared" si="64"/>
        <v/>
      </c>
      <c r="AC84" s="114" t="str">
        <f t="shared" si="65"/>
        <v/>
      </c>
      <c r="AD84" s="129"/>
      <c r="AE84" s="108"/>
      <c r="AF84" s="107"/>
      <c r="AG84" s="107"/>
      <c r="AH84" s="109"/>
      <c r="AI84" s="109"/>
      <c r="AJ84" s="107"/>
      <c r="AK84" s="106"/>
    </row>
    <row r="85" spans="1:37" ht="16.5" customHeight="1" x14ac:dyDescent="0.2">
      <c r="A85" s="136"/>
      <c r="B85" s="133"/>
      <c r="C85" s="133"/>
      <c r="D85" s="133"/>
      <c r="E85" s="133"/>
      <c r="F85" s="133"/>
      <c r="G85" s="136"/>
      <c r="H85" s="139"/>
      <c r="I85" s="142"/>
      <c r="J85" s="145"/>
      <c r="K85" s="142"/>
      <c r="L85" s="139"/>
      <c r="M85" s="142"/>
      <c r="N85" s="148"/>
      <c r="O85" s="106">
        <v>7</v>
      </c>
      <c r="P85" s="120"/>
      <c r="Q85" s="110" t="str">
        <f t="shared" si="58"/>
        <v/>
      </c>
      <c r="R85" s="108"/>
      <c r="S85" s="108"/>
      <c r="T85" s="111" t="str">
        <f t="shared" si="59"/>
        <v/>
      </c>
      <c r="U85" s="121"/>
      <c r="V85" s="121"/>
      <c r="W85" s="121"/>
      <c r="X85" s="112" t="str">
        <f t="shared" si="60"/>
        <v/>
      </c>
      <c r="Y85" s="113" t="str">
        <f t="shared" si="61"/>
        <v/>
      </c>
      <c r="Z85" s="111" t="str">
        <f t="shared" si="62"/>
        <v/>
      </c>
      <c r="AA85" s="113" t="str">
        <f t="shared" si="63"/>
        <v/>
      </c>
      <c r="AB85" s="111" t="str">
        <f t="shared" si="64"/>
        <v/>
      </c>
      <c r="AC85" s="114" t="str">
        <f t="shared" si="65"/>
        <v/>
      </c>
      <c r="AD85" s="130"/>
      <c r="AE85" s="108"/>
      <c r="AF85" s="107"/>
      <c r="AG85" s="107"/>
      <c r="AH85" s="109"/>
      <c r="AI85" s="109"/>
      <c r="AJ85" s="107"/>
      <c r="AK85" s="106"/>
    </row>
    <row r="86" spans="1:37" ht="18" customHeight="1" x14ac:dyDescent="0.2">
      <c r="A86" s="134">
        <v>11</v>
      </c>
      <c r="B86" s="131"/>
      <c r="C86" s="131"/>
      <c r="D86" s="131"/>
      <c r="E86" s="131"/>
      <c r="F86" s="131"/>
      <c r="G86" s="134"/>
      <c r="H86" s="137" t="str">
        <f t="shared" ref="H86" si="66">IF(G86&lt;=0,"",IF(G86&lt;=2,"Muy Baja",IF(G86&lt;=24,"Baja",IF(G86&lt;=500,"Media",IF(G86&lt;=5000,"Alta","Muy Alta")))))</f>
        <v/>
      </c>
      <c r="I86" s="140" t="str">
        <f t="shared" ref="I86" si="67">IF(H86="","",IF(H86="Muy Baja",0.2,IF(H86="Baja",0.4,IF(H86="Media",0.6,IF(H86="Alta",0.8,IF(H86="Muy Alta",1,))))))</f>
        <v/>
      </c>
      <c r="J86" s="143"/>
      <c r="K86" s="140">
        <f>IF(NOT(ISERROR(MATCH(J86,'[1]Tabla Impacto'!$B$221:$B$223,0))),'[1]Tabla Impacto'!$F$223&amp;"Por favor no seleccionar los criterios de impacto(Afectación Económica o presupuestal y Pérdida Reputacional)",J86)</f>
        <v>0</v>
      </c>
      <c r="L86" s="137" t="str">
        <f>IF(OR(K86='[1]Tabla Impacto'!$C$11,K86='[1]Tabla Impacto'!$D$11),"Leve",IF(OR(K86='[1]Tabla Impacto'!$C$12,K86='[1]Tabla Impacto'!$D$12),"Menor",IF(OR(K86='[1]Tabla Impacto'!$C$13,K86='[1]Tabla Impacto'!$D$13),"Moderado",IF(OR(K86='[1]Tabla Impacto'!$C$14,K86='[1]Tabla Impacto'!$D$14),"Mayor",IF(OR(K86='[1]Tabla Impacto'!$C$15,K86='[1]Tabla Impacto'!$D$15),"Catastrófico","")))))</f>
        <v/>
      </c>
      <c r="M86" s="140" t="str">
        <f t="shared" ref="M86" si="68">IF(L86="","",IF(L86="Leve",0.2,IF(L86="Menor",0.4,IF(L86="Moderado",0.6,IF(L86="Mayor",0.8,IF(L86="Catastrófico",1,))))))</f>
        <v/>
      </c>
      <c r="N86" s="146" t="str">
        <f t="shared" ref="N86" si="69">IF(OR(AND(H86="Muy Baja",L86="Leve"),AND(H86="Muy Baja",L86="Menor"),AND(H86="Baja",L86="Leve")),"Bajo",IF(OR(AND(H86="Muy baja",L86="Moderado"),AND(H86="Baja",L86="Menor"),AND(H86="Baja",L86="Moderado"),AND(H86="Media",L86="Leve"),AND(H86="Media",L86="Menor"),AND(H86="Media",L86="Moderado"),AND(H86="Alta",L86="Leve"),AND(H86="Alta",L86="Menor")),"Moderado",IF(OR(AND(H86="Muy Baja",L86="Mayor"),AND(H86="Baja",L86="Mayor"),AND(H86="Media",L86="Mayor"),AND(H86="Alta",L86="Moderado"),AND(H86="Alta",L86="Mayor"),AND(H86="Muy Alta",L86="Leve"),AND(H86="Muy Alta",L86="Menor"),AND(H86="Muy Alta",L86="Moderado"),AND(H86="Muy Alta",L86="Mayor")),"Alto",IF(OR(AND(H86="Muy Baja",L86="Catastrófico"),AND(H86="Baja",L86="Catastrófico"),AND(H86="Media",L86="Catastrófico"),AND(H86="Alta",L86="Catastrófico"),AND(H86="Muy Alta",L86="Catastrófico")),"Extremo",""))))</f>
        <v/>
      </c>
      <c r="O86" s="106">
        <v>1</v>
      </c>
      <c r="P86" s="120"/>
      <c r="Q86" s="110" t="str">
        <f t="shared" si="58"/>
        <v/>
      </c>
      <c r="R86" s="108"/>
      <c r="S86" s="108"/>
      <c r="T86" s="111" t="str">
        <f t="shared" si="59"/>
        <v/>
      </c>
      <c r="U86" s="121"/>
      <c r="V86" s="121"/>
      <c r="W86" s="121"/>
      <c r="X86" s="112" t="str">
        <f t="shared" si="60"/>
        <v/>
      </c>
      <c r="Y86" s="113" t="str">
        <f t="shared" si="61"/>
        <v/>
      </c>
      <c r="Z86" s="111" t="str">
        <f t="shared" si="62"/>
        <v/>
      </c>
      <c r="AA86" s="113" t="str">
        <f t="shared" si="63"/>
        <v/>
      </c>
      <c r="AB86" s="111" t="str">
        <f t="shared" si="64"/>
        <v/>
      </c>
      <c r="AC86" s="114" t="str">
        <f t="shared" si="65"/>
        <v/>
      </c>
      <c r="AD86" s="128" t="b">
        <f t="shared" ref="AD86" si="70">IFERROR(IF(OR(AND(AC86="Bajo",AC87="Bajo",AC88="Bajo"),AND(AC86="Bajo",AC87="Bajo",AC88=""),AND(AC86="Bajo",AC87="",AC88="")),"Bajo",IF(OR(AND(AC86="Bajo",AC87="Bajo",AC88="Moderado"),AND(AC86="Bajo",AC87="Moderado",AC88="Moderado"),AND(AC86="Moderado",AC87="Moderado",AC88="Moderado"),AND(AC86="Bajo",AC87="Moderado",AC88=""),AND(AC86="Moderado",AC87="Bajo",AC88=""),AND(AC86="Moderado",AC87="Moderado",AC88=""),AND(AC86="Moderado",AC87="",AC88="")),"Moderado",IF(OR(AND(AC86="Bajo",AC87="Bajo",AC88="Alto"),AND(AC86="Bajo",AC87="Moderado",AC88="Alto"),AND(AC86="Moderado",AC87="Bajo",AC88="Alto"),AND(AC86="Moderado",AC87="Alto",AC88="Bajo"),AND(AC86="Moderado",AC87="Moderado",AC88="Alto"),AND(AC86="Alto",AC87="Bajo",AC88="Bajo"),AND(AC86="Alto",AC87="Moderado",AC88="Bajo"),AND(AC86="Alto",AC87="Moderado",AC88="Moderado"),AND(AC86="Alto",AC87="Alto",AC88="Bajo"),AND(AC86="Alto",AC87="Alto",AC88="Moderado"),AND(AC86="Alto",AC87="Alto",AC88="Alto"),AND(AC86="Alto",AC87="Bajo",AC88=""),AND(AC86="Alto",AC87="Moderado",AC88=""),AND(AC86="Alto",AC87="Alto",AC88=""),AND(AC86="Bajo",AC87="Alto",AC88=""),AND(AC86="Moderado",AC87="Alto",AC88=""),AND(AC86="Alto",AC87="",AC88="")),"Alto",IF(OR(AND(AC86="Bajo",AC87="Bajo",AC88="Extremo"),AND(AC86="Bajo",AC87="Moderado",AC88="Extremo"),AND(AC86="Bajo",AC87="Alto",AC88="Extremo"),AND(AC86="Moderado",AC87="Bajo",AC88="Extremo"),AND(AC86="Moderado",AC87="Alto",AC88="Extremo"),AND(AC86="Moderado",AC87="Moderado",AC88="Extremo"),AND(AC86="Alto",AC87="Bajo",AC88="Extremo"),AND(AC86="Alto",AC87="Moderado",AC88="Extremo"),AND(AC86="Alto",AC87="Alto",AC88="Extremo"),AND(AC86="Extremo",AC87="Bajo",AC88="Bajo"),AND(AC86="Extremo",AC87="Bajo",AC88="Moderado"),AND(AC86="Extremo",AC87="Bajo",AC88="Alto"),AND(AC86="Extremo",AC87="Moderado",AC88="Bajo"),AND(AC86="Extremo",AC87="Moderado",AC88="Moderado"),AND(AC86="Extremo",AC87="Moderado",AC88="Alto"),AND(AC86="Extremo",AC87="Alto",AC88="Bajo"),AND(AC86="Extremo",AC87="Alto",AC88="Moderado"),AND(AC86="Extremo",AC87="Alto",AC88="Alto"),AND(AC86="Extremo",AC87="Extremo",AC88="Bajo"),AND(AC86="Extremo",AC87="Extremo",AC88="Moderado"),AND(AC86="Extremo",AC87="Extremo",AC88="Alto"),AND(AC86="Extremo",AC87="Extremo",AC88="Extremo"),AND(AC86="Extremo",AC87="Bajo",AC88=""),AND(AC86="Extremo",AC87="Moderado",AC88=""),AND(AC86="Extremo",AC87="Alto",AC88=""),AND(AC86="Extremo",AC87="",AC88="")),"Extremo")))),"")</f>
        <v>0</v>
      </c>
      <c r="AE86" s="125"/>
      <c r="AF86" s="107"/>
      <c r="AG86" s="107"/>
      <c r="AH86" s="109"/>
      <c r="AI86" s="109"/>
      <c r="AJ86" s="107"/>
      <c r="AK86" s="106"/>
    </row>
    <row r="87" spans="1:37" x14ac:dyDescent="0.2">
      <c r="A87" s="135"/>
      <c r="B87" s="132"/>
      <c r="C87" s="132"/>
      <c r="D87" s="132"/>
      <c r="E87" s="132"/>
      <c r="F87" s="132"/>
      <c r="G87" s="135"/>
      <c r="H87" s="138"/>
      <c r="I87" s="141"/>
      <c r="J87" s="144"/>
      <c r="K87" s="141"/>
      <c r="L87" s="138"/>
      <c r="M87" s="141"/>
      <c r="N87" s="147"/>
      <c r="O87" s="106">
        <v>2</v>
      </c>
      <c r="P87" s="120"/>
      <c r="Q87" s="110" t="str">
        <f t="shared" si="58"/>
        <v/>
      </c>
      <c r="R87" s="108"/>
      <c r="S87" s="108"/>
      <c r="T87" s="111" t="str">
        <f t="shared" si="59"/>
        <v/>
      </c>
      <c r="U87" s="121"/>
      <c r="V87" s="121"/>
      <c r="W87" s="121"/>
      <c r="X87" s="112" t="str">
        <f t="shared" si="60"/>
        <v/>
      </c>
      <c r="Y87" s="113" t="str">
        <f t="shared" si="61"/>
        <v/>
      </c>
      <c r="Z87" s="111" t="str">
        <f t="shared" si="62"/>
        <v/>
      </c>
      <c r="AA87" s="113" t="str">
        <f t="shared" si="63"/>
        <v/>
      </c>
      <c r="AB87" s="111" t="str">
        <f t="shared" si="64"/>
        <v/>
      </c>
      <c r="AC87" s="114" t="str">
        <f t="shared" si="65"/>
        <v/>
      </c>
      <c r="AD87" s="129"/>
      <c r="AE87" s="126"/>
      <c r="AF87" s="107"/>
      <c r="AG87" s="107"/>
      <c r="AH87" s="109"/>
      <c r="AI87" s="109"/>
      <c r="AJ87" s="107"/>
      <c r="AK87" s="106"/>
    </row>
    <row r="88" spans="1:37" x14ac:dyDescent="0.2">
      <c r="A88" s="135"/>
      <c r="B88" s="132"/>
      <c r="C88" s="132"/>
      <c r="D88" s="132"/>
      <c r="E88" s="132"/>
      <c r="F88" s="132"/>
      <c r="G88" s="135"/>
      <c r="H88" s="138"/>
      <c r="I88" s="141"/>
      <c r="J88" s="144"/>
      <c r="K88" s="141"/>
      <c r="L88" s="138"/>
      <c r="M88" s="141"/>
      <c r="N88" s="147"/>
      <c r="O88" s="106">
        <v>3</v>
      </c>
      <c r="P88" s="120"/>
      <c r="Q88" s="110" t="str">
        <f t="shared" si="58"/>
        <v/>
      </c>
      <c r="R88" s="108"/>
      <c r="S88" s="108"/>
      <c r="T88" s="111" t="str">
        <f t="shared" si="59"/>
        <v/>
      </c>
      <c r="U88" s="121"/>
      <c r="V88" s="121"/>
      <c r="W88" s="121"/>
      <c r="X88" s="112" t="str">
        <f t="shared" si="60"/>
        <v/>
      </c>
      <c r="Y88" s="113" t="str">
        <f t="shared" si="61"/>
        <v/>
      </c>
      <c r="Z88" s="111" t="str">
        <f t="shared" si="62"/>
        <v/>
      </c>
      <c r="AA88" s="113" t="str">
        <f t="shared" si="63"/>
        <v/>
      </c>
      <c r="AB88" s="111" t="str">
        <f t="shared" si="64"/>
        <v/>
      </c>
      <c r="AC88" s="114" t="str">
        <f t="shared" si="65"/>
        <v/>
      </c>
      <c r="AD88" s="129"/>
      <c r="AE88" s="127"/>
      <c r="AF88" s="107"/>
      <c r="AG88" s="107"/>
      <c r="AH88" s="109"/>
      <c r="AI88" s="109"/>
      <c r="AJ88" s="107"/>
      <c r="AK88" s="106"/>
    </row>
    <row r="89" spans="1:37" ht="16.5" customHeight="1" x14ac:dyDescent="0.2">
      <c r="A89" s="135"/>
      <c r="B89" s="132"/>
      <c r="C89" s="132"/>
      <c r="D89" s="132"/>
      <c r="E89" s="132"/>
      <c r="F89" s="132"/>
      <c r="G89" s="135"/>
      <c r="H89" s="138"/>
      <c r="I89" s="141"/>
      <c r="J89" s="144"/>
      <c r="K89" s="141"/>
      <c r="L89" s="138"/>
      <c r="M89" s="141"/>
      <c r="N89" s="147"/>
      <c r="O89" s="106">
        <v>4</v>
      </c>
      <c r="P89" s="120"/>
      <c r="Q89" s="110" t="str">
        <f t="shared" si="58"/>
        <v/>
      </c>
      <c r="R89" s="108"/>
      <c r="S89" s="108"/>
      <c r="T89" s="111" t="str">
        <f t="shared" si="59"/>
        <v/>
      </c>
      <c r="U89" s="121"/>
      <c r="V89" s="121"/>
      <c r="W89" s="121"/>
      <c r="X89" s="112" t="str">
        <f t="shared" si="60"/>
        <v/>
      </c>
      <c r="Y89" s="113" t="str">
        <f t="shared" si="61"/>
        <v/>
      </c>
      <c r="Z89" s="111" t="str">
        <f t="shared" si="62"/>
        <v/>
      </c>
      <c r="AA89" s="113" t="str">
        <f t="shared" si="63"/>
        <v/>
      </c>
      <c r="AB89" s="111" t="str">
        <f t="shared" si="64"/>
        <v/>
      </c>
      <c r="AC89" s="114" t="str">
        <f t="shared" si="65"/>
        <v/>
      </c>
      <c r="AD89" s="129"/>
      <c r="AE89" s="108"/>
      <c r="AF89" s="107"/>
      <c r="AG89" s="107"/>
      <c r="AH89" s="109"/>
      <c r="AI89" s="109"/>
      <c r="AJ89" s="107"/>
      <c r="AK89" s="106"/>
    </row>
    <row r="90" spans="1:37" ht="16.5" customHeight="1" x14ac:dyDescent="0.2">
      <c r="A90" s="135"/>
      <c r="B90" s="132"/>
      <c r="C90" s="132"/>
      <c r="D90" s="132"/>
      <c r="E90" s="132"/>
      <c r="F90" s="132"/>
      <c r="G90" s="135"/>
      <c r="H90" s="138"/>
      <c r="I90" s="141"/>
      <c r="J90" s="144"/>
      <c r="K90" s="141"/>
      <c r="L90" s="138"/>
      <c r="M90" s="141"/>
      <c r="N90" s="147"/>
      <c r="O90" s="106">
        <v>5</v>
      </c>
      <c r="P90" s="120"/>
      <c r="Q90" s="110" t="str">
        <f t="shared" si="58"/>
        <v/>
      </c>
      <c r="R90" s="108"/>
      <c r="S90" s="108"/>
      <c r="T90" s="111" t="str">
        <f t="shared" si="59"/>
        <v/>
      </c>
      <c r="U90" s="121"/>
      <c r="V90" s="121"/>
      <c r="W90" s="121"/>
      <c r="X90" s="112" t="str">
        <f t="shared" si="60"/>
        <v/>
      </c>
      <c r="Y90" s="113" t="str">
        <f t="shared" si="61"/>
        <v/>
      </c>
      <c r="Z90" s="111" t="str">
        <f t="shared" si="62"/>
        <v/>
      </c>
      <c r="AA90" s="113" t="str">
        <f t="shared" si="63"/>
        <v/>
      </c>
      <c r="AB90" s="111" t="str">
        <f t="shared" si="64"/>
        <v/>
      </c>
      <c r="AC90" s="114" t="str">
        <f t="shared" si="65"/>
        <v/>
      </c>
      <c r="AD90" s="129"/>
      <c r="AE90" s="108"/>
      <c r="AF90" s="107"/>
      <c r="AG90" s="107"/>
      <c r="AH90" s="109"/>
      <c r="AI90" s="109"/>
      <c r="AJ90" s="107"/>
      <c r="AK90" s="106"/>
    </row>
    <row r="91" spans="1:37" ht="16.5" customHeight="1" x14ac:dyDescent="0.2">
      <c r="A91" s="135"/>
      <c r="B91" s="132"/>
      <c r="C91" s="132"/>
      <c r="D91" s="132"/>
      <c r="E91" s="132"/>
      <c r="F91" s="132"/>
      <c r="G91" s="135"/>
      <c r="H91" s="138"/>
      <c r="I91" s="141"/>
      <c r="J91" s="144"/>
      <c r="K91" s="141"/>
      <c r="L91" s="138"/>
      <c r="M91" s="141"/>
      <c r="N91" s="147"/>
      <c r="O91" s="106">
        <v>6</v>
      </c>
      <c r="P91" s="120"/>
      <c r="Q91" s="110" t="str">
        <f t="shared" si="58"/>
        <v/>
      </c>
      <c r="R91" s="108"/>
      <c r="S91" s="108"/>
      <c r="T91" s="111" t="str">
        <f t="shared" si="59"/>
        <v/>
      </c>
      <c r="U91" s="121"/>
      <c r="V91" s="121"/>
      <c r="W91" s="121"/>
      <c r="X91" s="112" t="str">
        <f t="shared" si="60"/>
        <v/>
      </c>
      <c r="Y91" s="113" t="str">
        <f t="shared" si="61"/>
        <v/>
      </c>
      <c r="Z91" s="111" t="str">
        <f t="shared" si="62"/>
        <v/>
      </c>
      <c r="AA91" s="113" t="str">
        <f t="shared" si="63"/>
        <v/>
      </c>
      <c r="AB91" s="111" t="str">
        <f t="shared" si="64"/>
        <v/>
      </c>
      <c r="AC91" s="114" t="str">
        <f t="shared" si="65"/>
        <v/>
      </c>
      <c r="AD91" s="129"/>
      <c r="AE91" s="108"/>
      <c r="AF91" s="107"/>
      <c r="AG91" s="107"/>
      <c r="AH91" s="109"/>
      <c r="AI91" s="109"/>
      <c r="AJ91" s="107"/>
      <c r="AK91" s="106"/>
    </row>
    <row r="92" spans="1:37" ht="16.5" customHeight="1" x14ac:dyDescent="0.2">
      <c r="A92" s="136"/>
      <c r="B92" s="133"/>
      <c r="C92" s="133"/>
      <c r="D92" s="133"/>
      <c r="E92" s="133"/>
      <c r="F92" s="133"/>
      <c r="G92" s="136"/>
      <c r="H92" s="139"/>
      <c r="I92" s="142"/>
      <c r="J92" s="145"/>
      <c r="K92" s="142"/>
      <c r="L92" s="139"/>
      <c r="M92" s="142"/>
      <c r="N92" s="148"/>
      <c r="O92" s="106">
        <v>7</v>
      </c>
      <c r="P92" s="120"/>
      <c r="Q92" s="110" t="str">
        <f t="shared" si="58"/>
        <v/>
      </c>
      <c r="R92" s="108"/>
      <c r="S92" s="108"/>
      <c r="T92" s="111" t="str">
        <f t="shared" si="59"/>
        <v/>
      </c>
      <c r="U92" s="121"/>
      <c r="V92" s="121"/>
      <c r="W92" s="121"/>
      <c r="X92" s="112" t="str">
        <f t="shared" si="60"/>
        <v/>
      </c>
      <c r="Y92" s="113" t="str">
        <f t="shared" si="61"/>
        <v/>
      </c>
      <c r="Z92" s="111" t="str">
        <f t="shared" si="62"/>
        <v/>
      </c>
      <c r="AA92" s="113" t="str">
        <f t="shared" si="63"/>
        <v/>
      </c>
      <c r="AB92" s="111" t="str">
        <f t="shared" si="64"/>
        <v/>
      </c>
      <c r="AC92" s="114" t="str">
        <f t="shared" si="65"/>
        <v/>
      </c>
      <c r="AD92" s="130"/>
      <c r="AE92" s="108"/>
      <c r="AF92" s="107"/>
      <c r="AG92" s="107"/>
      <c r="AH92" s="109"/>
      <c r="AI92" s="109"/>
      <c r="AJ92" s="107"/>
      <c r="AK92" s="106"/>
    </row>
    <row r="93" spans="1:37" ht="16.5" customHeight="1" x14ac:dyDescent="0.2">
      <c r="A93" s="134">
        <v>12</v>
      </c>
      <c r="B93" s="131"/>
      <c r="C93" s="131"/>
      <c r="D93" s="131"/>
      <c r="E93" s="131"/>
      <c r="F93" s="131"/>
      <c r="G93" s="134"/>
      <c r="H93" s="137" t="str">
        <f t="shared" ref="H93" si="71">IF(G93&lt;=0,"",IF(G93&lt;=2,"Muy Baja",IF(G93&lt;=24,"Baja",IF(G93&lt;=500,"Media",IF(G93&lt;=5000,"Alta","Muy Alta")))))</f>
        <v/>
      </c>
      <c r="I93" s="140" t="str">
        <f t="shared" ref="I93" si="72">IF(H93="","",IF(H93="Muy Baja",0.2,IF(H93="Baja",0.4,IF(H93="Media",0.6,IF(H93="Alta",0.8,IF(H93="Muy Alta",1,))))))</f>
        <v/>
      </c>
      <c r="J93" s="143"/>
      <c r="K93" s="140">
        <f>IF(NOT(ISERROR(MATCH(J93,'[1]Tabla Impacto'!$B$221:$B$223,0))),'[1]Tabla Impacto'!$F$223&amp;"Por favor no seleccionar los criterios de impacto(Afectación Económica o presupuestal y Pérdida Reputacional)",J93)</f>
        <v>0</v>
      </c>
      <c r="L93" s="137" t="str">
        <f>IF(OR(K93='[1]Tabla Impacto'!$C$11,K93='[1]Tabla Impacto'!$D$11),"Leve",IF(OR(K93='[1]Tabla Impacto'!$C$12,K93='[1]Tabla Impacto'!$D$12),"Menor",IF(OR(K93='[1]Tabla Impacto'!$C$13,K93='[1]Tabla Impacto'!$D$13),"Moderado",IF(OR(K93='[1]Tabla Impacto'!$C$14,K93='[1]Tabla Impacto'!$D$14),"Mayor",IF(OR(K93='[1]Tabla Impacto'!$C$15,K93='[1]Tabla Impacto'!$D$15),"Catastrófico","")))))</f>
        <v/>
      </c>
      <c r="M93" s="140" t="str">
        <f t="shared" ref="M93" si="73">IF(L93="","",IF(L93="Leve",0.2,IF(L93="Menor",0.4,IF(L93="Moderado",0.6,IF(L93="Mayor",0.8,IF(L93="Catastrófico",1,))))))</f>
        <v/>
      </c>
      <c r="N93" s="146" t="str">
        <f t="shared" ref="N93" si="74">IF(OR(AND(H93="Muy Baja",L93="Leve"),AND(H93="Muy Baja",L93="Menor"),AND(H93="Baja",L93="Leve")),"Bajo",IF(OR(AND(H93="Muy baja",L93="Moderado"),AND(H93="Baja",L93="Menor"),AND(H93="Baja",L93="Moderado"),AND(H93="Media",L93="Leve"),AND(H93="Media",L93="Menor"),AND(H93="Media",L93="Moderado"),AND(H93="Alta",L93="Leve"),AND(H93="Alta",L93="Menor")),"Moderado",IF(OR(AND(H93="Muy Baja",L93="Mayor"),AND(H93="Baja",L93="Mayor"),AND(H93="Media",L93="Mayor"),AND(H93="Alta",L93="Moderado"),AND(H93="Alta",L93="Mayor"),AND(H93="Muy Alta",L93="Leve"),AND(H93="Muy Alta",L93="Menor"),AND(H93="Muy Alta",L93="Moderado"),AND(H93="Muy Alta",L93="Mayor")),"Alto",IF(OR(AND(H93="Muy Baja",L93="Catastrófico"),AND(H93="Baja",L93="Catastrófico"),AND(H93="Media",L93="Catastrófico"),AND(H93="Alta",L93="Catastrófico"),AND(H93="Muy Alta",L93="Catastrófico")),"Extremo",""))))</f>
        <v/>
      </c>
      <c r="O93" s="106">
        <v>1</v>
      </c>
      <c r="P93" s="120"/>
      <c r="Q93" s="110" t="str">
        <f t="shared" si="58"/>
        <v/>
      </c>
      <c r="R93" s="108"/>
      <c r="S93" s="108"/>
      <c r="T93" s="111" t="str">
        <f t="shared" si="59"/>
        <v/>
      </c>
      <c r="U93" s="121"/>
      <c r="V93" s="121"/>
      <c r="W93" s="121"/>
      <c r="X93" s="112" t="str">
        <f t="shared" si="60"/>
        <v/>
      </c>
      <c r="Y93" s="113" t="str">
        <f t="shared" si="61"/>
        <v/>
      </c>
      <c r="Z93" s="111" t="str">
        <f t="shared" si="62"/>
        <v/>
      </c>
      <c r="AA93" s="113" t="str">
        <f t="shared" si="63"/>
        <v/>
      </c>
      <c r="AB93" s="111" t="str">
        <f t="shared" si="64"/>
        <v/>
      </c>
      <c r="AC93" s="114" t="str">
        <f t="shared" si="65"/>
        <v/>
      </c>
      <c r="AD93" s="128" t="b">
        <f t="shared" ref="AD93" si="75">IFERROR(IF(OR(AND(AC93="Bajo",AC94="Bajo",AC95="Bajo"),AND(AC93="Bajo",AC94="Bajo",AC95=""),AND(AC93="Bajo",AC94="",AC95="")),"Bajo",IF(OR(AND(AC93="Bajo",AC94="Bajo",AC95="Moderado"),AND(AC93="Bajo",AC94="Moderado",AC95="Moderado"),AND(AC93="Moderado",AC94="Moderado",AC95="Moderado"),AND(AC93="Bajo",AC94="Moderado",AC95=""),AND(AC93="Moderado",AC94="Bajo",AC95=""),AND(AC93="Moderado",AC94="Moderado",AC95=""),AND(AC93="Moderado",AC94="",AC95="")),"Moderado",IF(OR(AND(AC93="Bajo",AC94="Bajo",AC95="Alto"),AND(AC93="Bajo",AC94="Moderado",AC95="Alto"),AND(AC93="Moderado",AC94="Bajo",AC95="Alto"),AND(AC93="Moderado",AC94="Alto",AC95="Bajo"),AND(AC93="Moderado",AC94="Moderado",AC95="Alto"),AND(AC93="Alto",AC94="Bajo",AC95="Bajo"),AND(AC93="Alto",AC94="Moderado",AC95="Bajo"),AND(AC93="Alto",AC94="Moderado",AC95="Moderado"),AND(AC93="Alto",AC94="Alto",AC95="Bajo"),AND(AC93="Alto",AC94="Alto",AC95="Moderado"),AND(AC93="Alto",AC94="Alto",AC95="Alto"),AND(AC93="Alto",AC94="Bajo",AC95=""),AND(AC93="Alto",AC94="Moderado",AC95=""),AND(AC93="Alto",AC94="Alto",AC95=""),AND(AC93="Bajo",AC94="Alto",AC95=""),AND(AC93="Moderado",AC94="Alto",AC95=""),AND(AC93="Alto",AC94="",AC95="")),"Alto",IF(OR(AND(AC93="Bajo",AC94="Bajo",AC95="Extremo"),AND(AC93="Bajo",AC94="Moderado",AC95="Extremo"),AND(AC93="Bajo",AC94="Alto",AC95="Extremo"),AND(AC93="Moderado",AC94="Bajo",AC95="Extremo"),AND(AC93="Moderado",AC94="Alto",AC95="Extremo"),AND(AC93="Moderado",AC94="Moderado",AC95="Extremo"),AND(AC93="Alto",AC94="Bajo",AC95="Extremo"),AND(AC93="Alto",AC94="Moderado",AC95="Extremo"),AND(AC93="Alto",AC94="Alto",AC95="Extremo"),AND(AC93="Extremo",AC94="Bajo",AC95="Bajo"),AND(AC93="Extremo",AC94="Bajo",AC95="Moderado"),AND(AC93="Extremo",AC94="Bajo",AC95="Alto"),AND(AC93="Extremo",AC94="Moderado",AC95="Bajo"),AND(AC93="Extremo",AC94="Moderado",AC95="Moderado"),AND(AC93="Extremo",AC94="Moderado",AC95="Alto"),AND(AC93="Extremo",AC94="Alto",AC95="Bajo"),AND(AC93="Extremo",AC94="Alto",AC95="Moderado"),AND(AC93="Extremo",AC94="Alto",AC95="Alto"),AND(AC93="Extremo",AC94="Extremo",AC95="Bajo"),AND(AC93="Extremo",AC94="Extremo",AC95="Moderado"),AND(AC93="Extremo",AC94="Extremo",AC95="Alto"),AND(AC93="Extremo",AC94="Extremo",AC95="Extremo"),AND(AC93="Extremo",AC94="Bajo",AC95=""),AND(AC93="Extremo",AC94="Moderado",AC95=""),AND(AC93="Extremo",AC94="Alto",AC95=""),AND(AC93="Extremo",AC94="",AC95="")),"Extremo")))),"")</f>
        <v>0</v>
      </c>
      <c r="AE93" s="125"/>
      <c r="AF93" s="107"/>
      <c r="AG93" s="107"/>
      <c r="AH93" s="109"/>
      <c r="AI93" s="109"/>
      <c r="AJ93" s="107"/>
      <c r="AK93" s="106"/>
    </row>
    <row r="94" spans="1:37" x14ac:dyDescent="0.2">
      <c r="A94" s="135"/>
      <c r="B94" s="132"/>
      <c r="C94" s="132"/>
      <c r="D94" s="132"/>
      <c r="E94" s="132"/>
      <c r="F94" s="132"/>
      <c r="G94" s="135"/>
      <c r="H94" s="138"/>
      <c r="I94" s="141"/>
      <c r="J94" s="144"/>
      <c r="K94" s="141"/>
      <c r="L94" s="138"/>
      <c r="M94" s="141"/>
      <c r="N94" s="147"/>
      <c r="O94" s="106">
        <v>2</v>
      </c>
      <c r="P94" s="120"/>
      <c r="Q94" s="110" t="str">
        <f t="shared" si="58"/>
        <v/>
      </c>
      <c r="R94" s="108"/>
      <c r="S94" s="108"/>
      <c r="T94" s="111" t="str">
        <f t="shared" si="59"/>
        <v/>
      </c>
      <c r="U94" s="121"/>
      <c r="V94" s="121"/>
      <c r="W94" s="121"/>
      <c r="X94" s="112" t="str">
        <f t="shared" si="60"/>
        <v/>
      </c>
      <c r="Y94" s="113" t="str">
        <f t="shared" si="61"/>
        <v/>
      </c>
      <c r="Z94" s="111" t="str">
        <f t="shared" si="62"/>
        <v/>
      </c>
      <c r="AA94" s="113" t="str">
        <f t="shared" si="63"/>
        <v/>
      </c>
      <c r="AB94" s="111" t="str">
        <f t="shared" si="64"/>
        <v/>
      </c>
      <c r="AC94" s="114" t="str">
        <f t="shared" si="65"/>
        <v/>
      </c>
      <c r="AD94" s="129"/>
      <c r="AE94" s="126"/>
      <c r="AF94" s="107"/>
      <c r="AG94" s="107"/>
      <c r="AH94" s="109"/>
      <c r="AI94" s="109"/>
      <c r="AJ94" s="107"/>
      <c r="AK94" s="106"/>
    </row>
    <row r="95" spans="1:37" ht="16.5" customHeight="1" x14ac:dyDescent="0.2">
      <c r="A95" s="135"/>
      <c r="B95" s="132"/>
      <c r="C95" s="132"/>
      <c r="D95" s="132"/>
      <c r="E95" s="132"/>
      <c r="F95" s="132"/>
      <c r="G95" s="135"/>
      <c r="H95" s="138"/>
      <c r="I95" s="141"/>
      <c r="J95" s="144"/>
      <c r="K95" s="141"/>
      <c r="L95" s="138"/>
      <c r="M95" s="141"/>
      <c r="N95" s="147"/>
      <c r="O95" s="106">
        <v>3</v>
      </c>
      <c r="P95" s="120"/>
      <c r="Q95" s="110" t="str">
        <f t="shared" si="58"/>
        <v/>
      </c>
      <c r="R95" s="108"/>
      <c r="S95" s="108"/>
      <c r="T95" s="111" t="str">
        <f t="shared" si="59"/>
        <v/>
      </c>
      <c r="U95" s="121"/>
      <c r="V95" s="121"/>
      <c r="W95" s="121"/>
      <c r="X95" s="112" t="str">
        <f t="shared" si="60"/>
        <v/>
      </c>
      <c r="Y95" s="113" t="str">
        <f t="shared" si="61"/>
        <v/>
      </c>
      <c r="Z95" s="111" t="str">
        <f t="shared" si="62"/>
        <v/>
      </c>
      <c r="AA95" s="113" t="str">
        <f t="shared" si="63"/>
        <v/>
      </c>
      <c r="AB95" s="111" t="str">
        <f t="shared" si="64"/>
        <v/>
      </c>
      <c r="AC95" s="114" t="str">
        <f t="shared" si="65"/>
        <v/>
      </c>
      <c r="AD95" s="129"/>
      <c r="AE95" s="127"/>
      <c r="AF95" s="107"/>
      <c r="AG95" s="107"/>
      <c r="AH95" s="109"/>
      <c r="AI95" s="109"/>
      <c r="AJ95" s="107"/>
      <c r="AK95" s="106"/>
    </row>
    <row r="96" spans="1:37" ht="16.5" customHeight="1" x14ac:dyDescent="0.2">
      <c r="A96" s="135"/>
      <c r="B96" s="132"/>
      <c r="C96" s="132"/>
      <c r="D96" s="132"/>
      <c r="E96" s="132"/>
      <c r="F96" s="132"/>
      <c r="G96" s="135"/>
      <c r="H96" s="138"/>
      <c r="I96" s="141"/>
      <c r="J96" s="144"/>
      <c r="K96" s="141"/>
      <c r="L96" s="138"/>
      <c r="M96" s="141"/>
      <c r="N96" s="147"/>
      <c r="O96" s="106">
        <v>4</v>
      </c>
      <c r="P96" s="120"/>
      <c r="Q96" s="110" t="str">
        <f t="shared" si="58"/>
        <v/>
      </c>
      <c r="R96" s="108"/>
      <c r="S96" s="108"/>
      <c r="T96" s="111" t="str">
        <f t="shared" si="59"/>
        <v/>
      </c>
      <c r="U96" s="121"/>
      <c r="V96" s="121"/>
      <c r="W96" s="121"/>
      <c r="X96" s="112" t="str">
        <f t="shared" si="60"/>
        <v/>
      </c>
      <c r="Y96" s="113" t="str">
        <f t="shared" si="61"/>
        <v/>
      </c>
      <c r="Z96" s="111" t="str">
        <f t="shared" si="62"/>
        <v/>
      </c>
      <c r="AA96" s="113" t="str">
        <f t="shared" si="63"/>
        <v/>
      </c>
      <c r="AB96" s="111" t="str">
        <f t="shared" si="64"/>
        <v/>
      </c>
      <c r="AC96" s="114" t="str">
        <f t="shared" si="65"/>
        <v/>
      </c>
      <c r="AD96" s="129"/>
      <c r="AE96" s="108"/>
      <c r="AF96" s="107"/>
      <c r="AG96" s="107"/>
      <c r="AH96" s="109"/>
      <c r="AI96" s="109"/>
      <c r="AJ96" s="107"/>
      <c r="AK96" s="106"/>
    </row>
    <row r="97" spans="1:37" ht="16.5" customHeight="1" x14ac:dyDescent="0.2">
      <c r="A97" s="135"/>
      <c r="B97" s="132"/>
      <c r="C97" s="132"/>
      <c r="D97" s="132"/>
      <c r="E97" s="132"/>
      <c r="F97" s="132"/>
      <c r="G97" s="135"/>
      <c r="H97" s="138"/>
      <c r="I97" s="141"/>
      <c r="J97" s="144"/>
      <c r="K97" s="141"/>
      <c r="L97" s="138"/>
      <c r="M97" s="141"/>
      <c r="N97" s="147"/>
      <c r="O97" s="106">
        <v>5</v>
      </c>
      <c r="P97" s="120"/>
      <c r="Q97" s="110" t="str">
        <f t="shared" si="58"/>
        <v/>
      </c>
      <c r="R97" s="108"/>
      <c r="S97" s="108"/>
      <c r="T97" s="111" t="str">
        <f t="shared" si="59"/>
        <v/>
      </c>
      <c r="U97" s="121"/>
      <c r="V97" s="121"/>
      <c r="W97" s="121"/>
      <c r="X97" s="112" t="str">
        <f t="shared" si="60"/>
        <v/>
      </c>
      <c r="Y97" s="113" t="str">
        <f t="shared" si="61"/>
        <v/>
      </c>
      <c r="Z97" s="111" t="str">
        <f t="shared" si="62"/>
        <v/>
      </c>
      <c r="AA97" s="113" t="str">
        <f t="shared" si="63"/>
        <v/>
      </c>
      <c r="AB97" s="111" t="str">
        <f t="shared" si="64"/>
        <v/>
      </c>
      <c r="AC97" s="114" t="str">
        <f t="shared" si="65"/>
        <v/>
      </c>
      <c r="AD97" s="129"/>
      <c r="AE97" s="108"/>
      <c r="AF97" s="107"/>
      <c r="AG97" s="107"/>
      <c r="AH97" s="109"/>
      <c r="AI97" s="109"/>
      <c r="AJ97" s="107"/>
      <c r="AK97" s="106"/>
    </row>
    <row r="98" spans="1:37" ht="16.5" customHeight="1" x14ac:dyDescent="0.2">
      <c r="A98" s="135"/>
      <c r="B98" s="132"/>
      <c r="C98" s="132"/>
      <c r="D98" s="132"/>
      <c r="E98" s="132"/>
      <c r="F98" s="132"/>
      <c r="G98" s="135"/>
      <c r="H98" s="138"/>
      <c r="I98" s="141"/>
      <c r="J98" s="144"/>
      <c r="K98" s="141"/>
      <c r="L98" s="138"/>
      <c r="M98" s="141"/>
      <c r="N98" s="147"/>
      <c r="O98" s="106">
        <v>6</v>
      </c>
      <c r="P98" s="120"/>
      <c r="Q98" s="110" t="str">
        <f t="shared" si="58"/>
        <v/>
      </c>
      <c r="R98" s="108"/>
      <c r="S98" s="108"/>
      <c r="T98" s="111" t="str">
        <f t="shared" si="59"/>
        <v/>
      </c>
      <c r="U98" s="121"/>
      <c r="V98" s="121"/>
      <c r="W98" s="121"/>
      <c r="X98" s="112" t="str">
        <f t="shared" si="60"/>
        <v/>
      </c>
      <c r="Y98" s="113" t="str">
        <f t="shared" si="61"/>
        <v/>
      </c>
      <c r="Z98" s="111" t="str">
        <f t="shared" si="62"/>
        <v/>
      </c>
      <c r="AA98" s="113" t="str">
        <f t="shared" si="63"/>
        <v/>
      </c>
      <c r="AB98" s="111" t="str">
        <f t="shared" si="64"/>
        <v/>
      </c>
      <c r="AC98" s="114" t="str">
        <f t="shared" si="65"/>
        <v/>
      </c>
      <c r="AD98" s="129"/>
      <c r="AE98" s="108"/>
      <c r="AF98" s="107"/>
      <c r="AG98" s="107"/>
      <c r="AH98" s="109"/>
      <c r="AI98" s="109"/>
      <c r="AJ98" s="107"/>
      <c r="AK98" s="106"/>
    </row>
    <row r="99" spans="1:37" ht="16.5" customHeight="1" x14ac:dyDescent="0.2">
      <c r="A99" s="136"/>
      <c r="B99" s="133"/>
      <c r="C99" s="133"/>
      <c r="D99" s="133"/>
      <c r="E99" s="133"/>
      <c r="F99" s="133"/>
      <c r="G99" s="136"/>
      <c r="H99" s="139"/>
      <c r="I99" s="142"/>
      <c r="J99" s="145"/>
      <c r="K99" s="142"/>
      <c r="L99" s="139"/>
      <c r="M99" s="142"/>
      <c r="N99" s="148"/>
      <c r="O99" s="106">
        <v>7</v>
      </c>
      <c r="P99" s="120"/>
      <c r="Q99" s="110" t="str">
        <f t="shared" si="58"/>
        <v/>
      </c>
      <c r="R99" s="108"/>
      <c r="S99" s="108"/>
      <c r="T99" s="111" t="str">
        <f t="shared" si="59"/>
        <v/>
      </c>
      <c r="U99" s="121"/>
      <c r="V99" s="121"/>
      <c r="W99" s="121"/>
      <c r="X99" s="112" t="str">
        <f t="shared" si="60"/>
        <v/>
      </c>
      <c r="Y99" s="113" t="str">
        <f t="shared" si="61"/>
        <v/>
      </c>
      <c r="Z99" s="111" t="str">
        <f t="shared" si="62"/>
        <v/>
      </c>
      <c r="AA99" s="113" t="str">
        <f t="shared" si="63"/>
        <v/>
      </c>
      <c r="AB99" s="111" t="str">
        <f t="shared" si="64"/>
        <v/>
      </c>
      <c r="AC99" s="114" t="str">
        <f t="shared" si="65"/>
        <v/>
      </c>
      <c r="AD99" s="130"/>
      <c r="AE99" s="108"/>
      <c r="AF99" s="107"/>
      <c r="AG99" s="107"/>
      <c r="AH99" s="109"/>
      <c r="AI99" s="109"/>
      <c r="AJ99" s="107"/>
      <c r="AK99" s="106"/>
    </row>
    <row r="100" spans="1:37" ht="16.5" customHeight="1" x14ac:dyDescent="0.2">
      <c r="A100" s="134">
        <v>13</v>
      </c>
      <c r="B100" s="131"/>
      <c r="C100" s="131"/>
      <c r="D100" s="131"/>
      <c r="E100" s="131"/>
      <c r="F100" s="131"/>
      <c r="G100" s="134"/>
      <c r="H100" s="137" t="str">
        <f t="shared" ref="H100" si="76">IF(G100&lt;=0,"",IF(G100&lt;=2,"Muy Baja",IF(G100&lt;=24,"Baja",IF(G100&lt;=500,"Media",IF(G100&lt;=5000,"Alta","Muy Alta")))))</f>
        <v/>
      </c>
      <c r="I100" s="140" t="str">
        <f t="shared" ref="I100" si="77">IF(H100="","",IF(H100="Muy Baja",0.2,IF(H100="Baja",0.4,IF(H100="Media",0.6,IF(H100="Alta",0.8,IF(H100="Muy Alta",1,))))))</f>
        <v/>
      </c>
      <c r="J100" s="143"/>
      <c r="K100" s="140">
        <f>IF(NOT(ISERROR(MATCH(J100,'[1]Tabla Impacto'!$B$221:$B$223,0))),'[1]Tabla Impacto'!$F$223&amp;"Por favor no seleccionar los criterios de impacto(Afectación Económica o presupuestal y Pérdida Reputacional)",J100)</f>
        <v>0</v>
      </c>
      <c r="L100" s="137" t="str">
        <f>IF(OR(K100='[1]Tabla Impacto'!$C$11,K100='[1]Tabla Impacto'!$D$11),"Leve",IF(OR(K100='[1]Tabla Impacto'!$C$12,K100='[1]Tabla Impacto'!$D$12),"Menor",IF(OR(K100='[1]Tabla Impacto'!$C$13,K100='[1]Tabla Impacto'!$D$13),"Moderado",IF(OR(K100='[1]Tabla Impacto'!$C$14,K100='[1]Tabla Impacto'!$D$14),"Mayor",IF(OR(K100='[1]Tabla Impacto'!$C$15,K100='[1]Tabla Impacto'!$D$15),"Catastrófico","")))))</f>
        <v/>
      </c>
      <c r="M100" s="140" t="str">
        <f t="shared" ref="M100" si="78">IF(L100="","",IF(L100="Leve",0.2,IF(L100="Menor",0.4,IF(L100="Moderado",0.6,IF(L100="Mayor",0.8,IF(L100="Catastrófico",1,))))))</f>
        <v/>
      </c>
      <c r="N100" s="146" t="str">
        <f t="shared" ref="N100" si="79">IF(OR(AND(H100="Muy Baja",L100="Leve"),AND(H100="Muy Baja",L100="Menor"),AND(H100="Baja",L100="Leve")),"Bajo",IF(OR(AND(H100="Muy baja",L100="Moderado"),AND(H100="Baja",L100="Menor"),AND(H100="Baja",L100="Moderado"),AND(H100="Media",L100="Leve"),AND(H100="Media",L100="Menor"),AND(H100="Media",L100="Moderado"),AND(H100="Alta",L100="Leve"),AND(H100="Alta",L100="Menor")),"Moderado",IF(OR(AND(H100="Muy Baja",L100="Mayor"),AND(H100="Baja",L100="Mayor"),AND(H100="Media",L100="Mayor"),AND(H100="Alta",L100="Moderado"),AND(H100="Alta",L100="Mayor"),AND(H100="Muy Alta",L100="Leve"),AND(H100="Muy Alta",L100="Menor"),AND(H100="Muy Alta",L100="Moderado"),AND(H100="Muy Alta",L100="Mayor")),"Alto",IF(OR(AND(H100="Muy Baja",L100="Catastrófico"),AND(H100="Baja",L100="Catastrófico"),AND(H100="Media",L100="Catastrófico"),AND(H100="Alta",L100="Catastrófico"),AND(H100="Muy Alta",L100="Catastrófico")),"Extremo",""))))</f>
        <v/>
      </c>
      <c r="O100" s="106">
        <v>1</v>
      </c>
      <c r="P100" s="120"/>
      <c r="Q100" s="110" t="str">
        <f t="shared" si="58"/>
        <v/>
      </c>
      <c r="R100" s="108"/>
      <c r="S100" s="108"/>
      <c r="T100" s="111" t="str">
        <f t="shared" si="59"/>
        <v/>
      </c>
      <c r="U100" s="121"/>
      <c r="V100" s="121"/>
      <c r="W100" s="121"/>
      <c r="X100" s="112" t="str">
        <f t="shared" si="60"/>
        <v/>
      </c>
      <c r="Y100" s="113" t="str">
        <f t="shared" si="61"/>
        <v/>
      </c>
      <c r="Z100" s="111" t="str">
        <f t="shared" si="62"/>
        <v/>
      </c>
      <c r="AA100" s="113" t="str">
        <f t="shared" si="63"/>
        <v/>
      </c>
      <c r="AB100" s="111" t="str">
        <f t="shared" si="64"/>
        <v/>
      </c>
      <c r="AC100" s="114" t="str">
        <f t="shared" si="65"/>
        <v/>
      </c>
      <c r="AD100" s="128" t="b">
        <f t="shared" ref="AD100" si="80">IFERROR(IF(OR(AND(AC100="Bajo",AC101="Bajo",AC102="Bajo"),AND(AC100="Bajo",AC101="Bajo",AC102=""),AND(AC100="Bajo",AC101="",AC102="")),"Bajo",IF(OR(AND(AC100="Bajo",AC101="Bajo",AC102="Moderado"),AND(AC100="Bajo",AC101="Moderado",AC102="Moderado"),AND(AC100="Moderado",AC101="Moderado",AC102="Moderado"),AND(AC100="Bajo",AC101="Moderado",AC102=""),AND(AC100="Moderado",AC101="Bajo",AC102=""),AND(AC100="Moderado",AC101="Moderado",AC102=""),AND(AC100="Moderado",AC101="",AC102="")),"Moderado",IF(OR(AND(AC100="Bajo",AC101="Bajo",AC102="Alto"),AND(AC100="Bajo",AC101="Moderado",AC102="Alto"),AND(AC100="Moderado",AC101="Bajo",AC102="Alto"),AND(AC100="Moderado",AC101="Alto",AC102="Bajo"),AND(AC100="Moderado",AC101="Moderado",AC102="Alto"),AND(AC100="Alto",AC101="Bajo",AC102="Bajo"),AND(AC100="Alto",AC101="Moderado",AC102="Bajo"),AND(AC100="Alto",AC101="Moderado",AC102="Moderado"),AND(AC100="Alto",AC101="Alto",AC102="Bajo"),AND(AC100="Alto",AC101="Alto",AC102="Moderado"),AND(AC100="Alto",AC101="Alto",AC102="Alto"),AND(AC100="Alto",AC101="Bajo",AC102=""),AND(AC100="Alto",AC101="Moderado",AC102=""),AND(AC100="Alto",AC101="Alto",AC102=""),AND(AC100="Bajo",AC101="Alto",AC102=""),AND(AC100="Moderado",AC101="Alto",AC102=""),AND(AC100="Alto",AC101="",AC102="")),"Alto",IF(OR(AND(AC100="Bajo",AC101="Bajo",AC102="Extremo"),AND(AC100="Bajo",AC101="Moderado",AC102="Extremo"),AND(AC100="Bajo",AC101="Alto",AC102="Extremo"),AND(AC100="Moderado",AC101="Bajo",AC102="Extremo"),AND(AC100="Moderado",AC101="Alto",AC102="Extremo"),AND(AC100="Moderado",AC101="Moderado",AC102="Extremo"),AND(AC100="Alto",AC101="Bajo",AC102="Extremo"),AND(AC100="Alto",AC101="Moderado",AC102="Extremo"),AND(AC100="Alto",AC101="Alto",AC102="Extremo"),AND(AC100="Extremo",AC101="Bajo",AC102="Bajo"),AND(AC100="Extremo",AC101="Bajo",AC102="Moderado"),AND(AC100="Extremo",AC101="Bajo",AC102="Alto"),AND(AC100="Extremo",AC101="Moderado",AC102="Bajo"),AND(AC100="Extremo",AC101="Moderado",AC102="Moderado"),AND(AC100="Extremo",AC101="Moderado",AC102="Alto"),AND(AC100="Extremo",AC101="Alto",AC102="Bajo"),AND(AC100="Extremo",AC101="Alto",AC102="Moderado"),AND(AC100="Extremo",AC101="Alto",AC102="Alto"),AND(AC100="Extremo",AC101="Extremo",AC102="Bajo"),AND(AC100="Extremo",AC101="Extremo",AC102="Moderado"),AND(AC100="Extremo",AC101="Extremo",AC102="Alto"),AND(AC100="Extremo",AC101="Extremo",AC102="Extremo"),AND(AC100="Extremo",AC101="Bajo",AC102=""),AND(AC100="Extremo",AC101="Moderado",AC102=""),AND(AC100="Extremo",AC101="Alto",AC102=""),AND(AC100="Extremo",AC101="",AC102="")),"Extremo")))),"")</f>
        <v>0</v>
      </c>
      <c r="AE100" s="125"/>
      <c r="AF100" s="107"/>
      <c r="AG100" s="107"/>
      <c r="AH100" s="109"/>
      <c r="AI100" s="109"/>
      <c r="AJ100" s="107"/>
      <c r="AK100" s="106"/>
    </row>
    <row r="101" spans="1:37" x14ac:dyDescent="0.2">
      <c r="A101" s="135"/>
      <c r="B101" s="132"/>
      <c r="C101" s="132"/>
      <c r="D101" s="132"/>
      <c r="E101" s="132"/>
      <c r="F101" s="132"/>
      <c r="G101" s="135"/>
      <c r="H101" s="138"/>
      <c r="I101" s="141"/>
      <c r="J101" s="144"/>
      <c r="K101" s="141"/>
      <c r="L101" s="138"/>
      <c r="M101" s="141"/>
      <c r="N101" s="147"/>
      <c r="O101" s="106">
        <v>2</v>
      </c>
      <c r="P101" s="120"/>
      <c r="Q101" s="110" t="str">
        <f t="shared" si="58"/>
        <v/>
      </c>
      <c r="R101" s="108"/>
      <c r="S101" s="108"/>
      <c r="T101" s="111" t="str">
        <f t="shared" si="59"/>
        <v/>
      </c>
      <c r="U101" s="121"/>
      <c r="V101" s="121"/>
      <c r="W101" s="121"/>
      <c r="X101" s="112" t="str">
        <f t="shared" si="60"/>
        <v/>
      </c>
      <c r="Y101" s="113" t="str">
        <f t="shared" si="61"/>
        <v/>
      </c>
      <c r="Z101" s="111" t="str">
        <f t="shared" si="62"/>
        <v/>
      </c>
      <c r="AA101" s="113" t="str">
        <f t="shared" si="63"/>
        <v/>
      </c>
      <c r="AB101" s="111" t="str">
        <f t="shared" si="64"/>
        <v/>
      </c>
      <c r="AC101" s="114" t="str">
        <f t="shared" si="65"/>
        <v/>
      </c>
      <c r="AD101" s="129"/>
      <c r="AE101" s="126"/>
      <c r="AF101" s="107"/>
      <c r="AG101" s="107"/>
      <c r="AH101" s="109"/>
      <c r="AI101" s="109"/>
      <c r="AJ101" s="107"/>
      <c r="AK101" s="106"/>
    </row>
    <row r="102" spans="1:37" x14ac:dyDescent="0.2">
      <c r="A102" s="135"/>
      <c r="B102" s="132"/>
      <c r="C102" s="132"/>
      <c r="D102" s="132"/>
      <c r="E102" s="132"/>
      <c r="F102" s="132"/>
      <c r="G102" s="135"/>
      <c r="H102" s="138"/>
      <c r="I102" s="141"/>
      <c r="J102" s="144"/>
      <c r="K102" s="141"/>
      <c r="L102" s="138"/>
      <c r="M102" s="141"/>
      <c r="N102" s="147"/>
      <c r="O102" s="106">
        <v>3</v>
      </c>
      <c r="P102" s="120"/>
      <c r="Q102" s="110" t="str">
        <f t="shared" si="58"/>
        <v/>
      </c>
      <c r="R102" s="108"/>
      <c r="S102" s="108"/>
      <c r="T102" s="111" t="str">
        <f t="shared" si="59"/>
        <v/>
      </c>
      <c r="U102" s="121"/>
      <c r="V102" s="121"/>
      <c r="W102" s="121"/>
      <c r="X102" s="112" t="str">
        <f t="shared" si="60"/>
        <v/>
      </c>
      <c r="Y102" s="113" t="str">
        <f t="shared" si="61"/>
        <v/>
      </c>
      <c r="Z102" s="111" t="str">
        <f t="shared" si="62"/>
        <v/>
      </c>
      <c r="AA102" s="113" t="str">
        <f t="shared" si="63"/>
        <v/>
      </c>
      <c r="AB102" s="111" t="str">
        <f t="shared" si="64"/>
        <v/>
      </c>
      <c r="AC102" s="114" t="str">
        <f t="shared" si="65"/>
        <v/>
      </c>
      <c r="AD102" s="129"/>
      <c r="AE102" s="127"/>
      <c r="AF102" s="107"/>
      <c r="AG102" s="107"/>
      <c r="AH102" s="109"/>
      <c r="AI102" s="109"/>
      <c r="AJ102" s="107"/>
      <c r="AK102" s="106"/>
    </row>
    <row r="103" spans="1:37" ht="16.5" customHeight="1" x14ac:dyDescent="0.2">
      <c r="A103" s="135"/>
      <c r="B103" s="132"/>
      <c r="C103" s="132"/>
      <c r="D103" s="132"/>
      <c r="E103" s="132"/>
      <c r="F103" s="132"/>
      <c r="G103" s="135"/>
      <c r="H103" s="138"/>
      <c r="I103" s="141"/>
      <c r="J103" s="144"/>
      <c r="K103" s="141"/>
      <c r="L103" s="138"/>
      <c r="M103" s="141"/>
      <c r="N103" s="147"/>
      <c r="O103" s="106">
        <v>4</v>
      </c>
      <c r="P103" s="120"/>
      <c r="Q103" s="110" t="str">
        <f t="shared" si="58"/>
        <v/>
      </c>
      <c r="R103" s="108"/>
      <c r="S103" s="108"/>
      <c r="T103" s="111" t="str">
        <f t="shared" si="59"/>
        <v/>
      </c>
      <c r="U103" s="121"/>
      <c r="V103" s="121"/>
      <c r="W103" s="121"/>
      <c r="X103" s="112" t="str">
        <f t="shared" si="60"/>
        <v/>
      </c>
      <c r="Y103" s="113" t="str">
        <f t="shared" si="61"/>
        <v/>
      </c>
      <c r="Z103" s="111" t="str">
        <f t="shared" si="62"/>
        <v/>
      </c>
      <c r="AA103" s="113" t="str">
        <f t="shared" si="63"/>
        <v/>
      </c>
      <c r="AB103" s="111" t="str">
        <f t="shared" si="64"/>
        <v/>
      </c>
      <c r="AC103" s="114" t="str">
        <f t="shared" si="65"/>
        <v/>
      </c>
      <c r="AD103" s="129"/>
      <c r="AE103" s="108"/>
      <c r="AF103" s="107"/>
      <c r="AG103" s="107"/>
      <c r="AH103" s="109"/>
      <c r="AI103" s="109"/>
      <c r="AJ103" s="107"/>
      <c r="AK103" s="106"/>
    </row>
    <row r="104" spans="1:37" ht="16.5" customHeight="1" x14ac:dyDescent="0.2">
      <c r="A104" s="135"/>
      <c r="B104" s="132"/>
      <c r="C104" s="132"/>
      <c r="D104" s="132"/>
      <c r="E104" s="132"/>
      <c r="F104" s="132"/>
      <c r="G104" s="135"/>
      <c r="H104" s="138"/>
      <c r="I104" s="141"/>
      <c r="J104" s="144"/>
      <c r="K104" s="141"/>
      <c r="L104" s="138"/>
      <c r="M104" s="141"/>
      <c r="N104" s="147"/>
      <c r="O104" s="106">
        <v>5</v>
      </c>
      <c r="P104" s="120"/>
      <c r="Q104" s="110" t="str">
        <f t="shared" si="58"/>
        <v/>
      </c>
      <c r="R104" s="108"/>
      <c r="S104" s="108"/>
      <c r="T104" s="111" t="str">
        <f t="shared" si="59"/>
        <v/>
      </c>
      <c r="U104" s="121"/>
      <c r="V104" s="121"/>
      <c r="W104" s="121"/>
      <c r="X104" s="112" t="str">
        <f t="shared" si="60"/>
        <v/>
      </c>
      <c r="Y104" s="113" t="str">
        <f t="shared" si="61"/>
        <v/>
      </c>
      <c r="Z104" s="111" t="str">
        <f t="shared" si="62"/>
        <v/>
      </c>
      <c r="AA104" s="113" t="str">
        <f t="shared" si="63"/>
        <v/>
      </c>
      <c r="AB104" s="111" t="str">
        <f t="shared" si="64"/>
        <v/>
      </c>
      <c r="AC104" s="114" t="str">
        <f t="shared" si="65"/>
        <v/>
      </c>
      <c r="AD104" s="129"/>
      <c r="AE104" s="108"/>
      <c r="AF104" s="107"/>
      <c r="AG104" s="107"/>
      <c r="AH104" s="109"/>
      <c r="AI104" s="109"/>
      <c r="AJ104" s="107"/>
      <c r="AK104" s="106"/>
    </row>
    <row r="105" spans="1:37" ht="16.5" customHeight="1" x14ac:dyDescent="0.2">
      <c r="A105" s="135"/>
      <c r="B105" s="132"/>
      <c r="C105" s="132"/>
      <c r="D105" s="132"/>
      <c r="E105" s="132"/>
      <c r="F105" s="132"/>
      <c r="G105" s="135"/>
      <c r="H105" s="138"/>
      <c r="I105" s="141"/>
      <c r="J105" s="144"/>
      <c r="K105" s="141"/>
      <c r="L105" s="138"/>
      <c r="M105" s="141"/>
      <c r="N105" s="147"/>
      <c r="O105" s="106">
        <v>6</v>
      </c>
      <c r="P105" s="120"/>
      <c r="Q105" s="110" t="str">
        <f t="shared" si="58"/>
        <v/>
      </c>
      <c r="R105" s="108"/>
      <c r="S105" s="108"/>
      <c r="T105" s="111" t="str">
        <f t="shared" si="59"/>
        <v/>
      </c>
      <c r="U105" s="121"/>
      <c r="V105" s="121"/>
      <c r="W105" s="121"/>
      <c r="X105" s="112" t="str">
        <f t="shared" si="60"/>
        <v/>
      </c>
      <c r="Y105" s="113" t="str">
        <f t="shared" si="61"/>
        <v/>
      </c>
      <c r="Z105" s="111" t="str">
        <f t="shared" si="62"/>
        <v/>
      </c>
      <c r="AA105" s="113" t="str">
        <f t="shared" si="63"/>
        <v/>
      </c>
      <c r="AB105" s="111" t="str">
        <f t="shared" si="64"/>
        <v/>
      </c>
      <c r="AC105" s="114" t="str">
        <f t="shared" si="65"/>
        <v/>
      </c>
      <c r="AD105" s="129"/>
      <c r="AE105" s="108"/>
      <c r="AF105" s="107"/>
      <c r="AG105" s="107"/>
      <c r="AH105" s="109"/>
      <c r="AI105" s="109"/>
      <c r="AJ105" s="107"/>
      <c r="AK105" s="106"/>
    </row>
    <row r="106" spans="1:37" ht="16.5" customHeight="1" x14ac:dyDescent="0.2">
      <c r="A106" s="136"/>
      <c r="B106" s="133"/>
      <c r="C106" s="133"/>
      <c r="D106" s="133"/>
      <c r="E106" s="133"/>
      <c r="F106" s="133"/>
      <c r="G106" s="136"/>
      <c r="H106" s="139"/>
      <c r="I106" s="142"/>
      <c r="J106" s="145"/>
      <c r="K106" s="142"/>
      <c r="L106" s="139"/>
      <c r="M106" s="142"/>
      <c r="N106" s="148"/>
      <c r="O106" s="106">
        <v>7</v>
      </c>
      <c r="P106" s="120"/>
      <c r="Q106" s="110" t="str">
        <f t="shared" si="58"/>
        <v/>
      </c>
      <c r="R106" s="108"/>
      <c r="S106" s="108"/>
      <c r="T106" s="111" t="str">
        <f t="shared" si="59"/>
        <v/>
      </c>
      <c r="U106" s="121"/>
      <c r="V106" s="121"/>
      <c r="W106" s="121"/>
      <c r="X106" s="112" t="str">
        <f t="shared" si="60"/>
        <v/>
      </c>
      <c r="Y106" s="113" t="str">
        <f t="shared" si="61"/>
        <v/>
      </c>
      <c r="Z106" s="111" t="str">
        <f t="shared" si="62"/>
        <v/>
      </c>
      <c r="AA106" s="113" t="str">
        <f t="shared" si="63"/>
        <v/>
      </c>
      <c r="AB106" s="111" t="str">
        <f t="shared" si="64"/>
        <v/>
      </c>
      <c r="AC106" s="114" t="str">
        <f t="shared" si="65"/>
        <v/>
      </c>
      <c r="AD106" s="130"/>
      <c r="AE106" s="108"/>
      <c r="AF106" s="107"/>
      <c r="AG106" s="107"/>
      <c r="AH106" s="109"/>
      <c r="AI106" s="109"/>
      <c r="AJ106" s="107"/>
      <c r="AK106" s="106"/>
    </row>
    <row r="107" spans="1:37" ht="16.5" customHeight="1" x14ac:dyDescent="0.2">
      <c r="A107" s="134">
        <v>14</v>
      </c>
      <c r="B107" s="131"/>
      <c r="C107" s="131"/>
      <c r="D107" s="131"/>
      <c r="E107" s="131"/>
      <c r="F107" s="131"/>
      <c r="G107" s="134"/>
      <c r="H107" s="137" t="str">
        <f t="shared" ref="H107" si="81">IF(G107&lt;=0,"",IF(G107&lt;=2,"Muy Baja",IF(G107&lt;=24,"Baja",IF(G107&lt;=500,"Media",IF(G107&lt;=5000,"Alta","Muy Alta")))))</f>
        <v/>
      </c>
      <c r="I107" s="140" t="str">
        <f t="shared" ref="I107" si="82">IF(H107="","",IF(H107="Muy Baja",0.2,IF(H107="Baja",0.4,IF(H107="Media",0.6,IF(H107="Alta",0.8,IF(H107="Muy Alta",1,))))))</f>
        <v/>
      </c>
      <c r="J107" s="143"/>
      <c r="K107" s="140">
        <f>IF(NOT(ISERROR(MATCH(J107,'[1]Tabla Impacto'!$B$221:$B$223,0))),'[1]Tabla Impacto'!$F$223&amp;"Por favor no seleccionar los criterios de impacto(Afectación Económica o presupuestal y Pérdida Reputacional)",J107)</f>
        <v>0</v>
      </c>
      <c r="L107" s="137" t="str">
        <f>IF(OR(K107='[1]Tabla Impacto'!$C$11,K107='[1]Tabla Impacto'!$D$11),"Leve",IF(OR(K107='[1]Tabla Impacto'!$C$12,K107='[1]Tabla Impacto'!$D$12),"Menor",IF(OR(K107='[1]Tabla Impacto'!$C$13,K107='[1]Tabla Impacto'!$D$13),"Moderado",IF(OR(K107='[1]Tabla Impacto'!$C$14,K107='[1]Tabla Impacto'!$D$14),"Mayor",IF(OR(K107='[1]Tabla Impacto'!$C$15,K107='[1]Tabla Impacto'!$D$15),"Catastrófico","")))))</f>
        <v/>
      </c>
      <c r="M107" s="140" t="str">
        <f t="shared" ref="M107" si="83">IF(L107="","",IF(L107="Leve",0.2,IF(L107="Menor",0.4,IF(L107="Moderado",0.6,IF(L107="Mayor",0.8,IF(L107="Catastrófico",1,))))))</f>
        <v/>
      </c>
      <c r="N107" s="146" t="str">
        <f t="shared" ref="N107" si="84">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106">
        <v>1</v>
      </c>
      <c r="P107" s="120"/>
      <c r="Q107" s="110" t="str">
        <f t="shared" si="58"/>
        <v/>
      </c>
      <c r="R107" s="108"/>
      <c r="S107" s="108"/>
      <c r="T107" s="111" t="str">
        <f t="shared" si="59"/>
        <v/>
      </c>
      <c r="U107" s="121"/>
      <c r="V107" s="121"/>
      <c r="W107" s="121"/>
      <c r="X107" s="112" t="str">
        <f t="shared" si="60"/>
        <v/>
      </c>
      <c r="Y107" s="113" t="str">
        <f t="shared" si="61"/>
        <v/>
      </c>
      <c r="Z107" s="111" t="str">
        <f t="shared" si="62"/>
        <v/>
      </c>
      <c r="AA107" s="113" t="str">
        <f t="shared" si="63"/>
        <v/>
      </c>
      <c r="AB107" s="111" t="str">
        <f t="shared" si="64"/>
        <v/>
      </c>
      <c r="AC107" s="114" t="str">
        <f t="shared" si="65"/>
        <v/>
      </c>
      <c r="AD107" s="128" t="b">
        <f t="shared" ref="AD107" si="85">IFERROR(IF(OR(AND(AC107="Bajo",AC108="Bajo",AC109="Bajo"),AND(AC107="Bajo",AC108="Bajo",AC109=""),AND(AC107="Bajo",AC108="",AC109="")),"Bajo",IF(OR(AND(AC107="Bajo",AC108="Bajo",AC109="Moderado"),AND(AC107="Bajo",AC108="Moderado",AC109="Moderado"),AND(AC107="Moderado",AC108="Moderado",AC109="Moderado"),AND(AC107="Bajo",AC108="Moderado",AC109=""),AND(AC107="Moderado",AC108="Bajo",AC109=""),AND(AC107="Moderado",AC108="Moderado",AC109=""),AND(AC107="Moderado",AC108="",AC109="")),"Moderado",IF(OR(AND(AC107="Bajo",AC108="Bajo",AC109="Alto"),AND(AC107="Bajo",AC108="Moderado",AC109="Alto"),AND(AC107="Moderado",AC108="Bajo",AC109="Alto"),AND(AC107="Moderado",AC108="Alto",AC109="Bajo"),AND(AC107="Moderado",AC108="Moderado",AC109="Alto"),AND(AC107="Alto",AC108="Bajo",AC109="Bajo"),AND(AC107="Alto",AC108="Moderado",AC109="Bajo"),AND(AC107="Alto",AC108="Moderado",AC109="Moderado"),AND(AC107="Alto",AC108="Alto",AC109="Bajo"),AND(AC107="Alto",AC108="Alto",AC109="Moderado"),AND(AC107="Alto",AC108="Alto",AC109="Alto"),AND(AC107="Alto",AC108="Bajo",AC109=""),AND(AC107="Alto",AC108="Moderado",AC109=""),AND(AC107="Alto",AC108="Alto",AC109=""),AND(AC107="Bajo",AC108="Alto",AC109=""),AND(AC107="Moderado",AC108="Alto",AC109=""),AND(AC107="Alto",AC108="",AC109="")),"Alto",IF(OR(AND(AC107="Bajo",AC108="Bajo",AC109="Extremo"),AND(AC107="Bajo",AC108="Moderado",AC109="Extremo"),AND(AC107="Bajo",AC108="Alto",AC109="Extremo"),AND(AC107="Moderado",AC108="Bajo",AC109="Extremo"),AND(AC107="Moderado",AC108="Alto",AC109="Extremo"),AND(AC107="Moderado",AC108="Moderado",AC109="Extremo"),AND(AC107="Alto",AC108="Bajo",AC109="Extremo"),AND(AC107="Alto",AC108="Moderado",AC109="Extremo"),AND(AC107="Alto",AC108="Alto",AC109="Extremo"),AND(AC107="Extremo",AC108="Bajo",AC109="Bajo"),AND(AC107="Extremo",AC108="Bajo",AC109="Moderado"),AND(AC107="Extremo",AC108="Bajo",AC109="Alto"),AND(AC107="Extremo",AC108="Moderado",AC109="Bajo"),AND(AC107="Extremo",AC108="Moderado",AC109="Moderado"),AND(AC107="Extremo",AC108="Moderado",AC109="Alto"),AND(AC107="Extremo",AC108="Alto",AC109="Bajo"),AND(AC107="Extremo",AC108="Alto",AC109="Moderado"),AND(AC107="Extremo",AC108="Alto",AC109="Alto"),AND(AC107="Extremo",AC108="Extremo",AC109="Bajo"),AND(AC107="Extremo",AC108="Extremo",AC109="Moderado"),AND(AC107="Extremo",AC108="Extremo",AC109="Alto"),AND(AC107="Extremo",AC108="Extremo",AC109="Extremo"),AND(AC107="Extremo",AC108="Bajo",AC109=""),AND(AC107="Extremo",AC108="Moderado",AC109=""),AND(AC107="Extremo",AC108="Alto",AC109=""),AND(AC107="Extremo",AC108="",AC109="")),"Extremo")))),"")</f>
        <v>0</v>
      </c>
      <c r="AE107" s="125"/>
      <c r="AF107" s="107"/>
      <c r="AG107" s="107"/>
      <c r="AH107" s="109"/>
      <c r="AI107" s="109"/>
      <c r="AJ107" s="107"/>
      <c r="AK107" s="106"/>
    </row>
    <row r="108" spans="1:37" x14ac:dyDescent="0.2">
      <c r="A108" s="135"/>
      <c r="B108" s="132"/>
      <c r="C108" s="132"/>
      <c r="D108" s="132"/>
      <c r="E108" s="132"/>
      <c r="F108" s="132"/>
      <c r="G108" s="135"/>
      <c r="H108" s="138"/>
      <c r="I108" s="141"/>
      <c r="J108" s="144"/>
      <c r="K108" s="141"/>
      <c r="L108" s="138"/>
      <c r="M108" s="141"/>
      <c r="N108" s="147"/>
      <c r="O108" s="106">
        <v>2</v>
      </c>
      <c r="P108" s="120"/>
      <c r="Q108" s="110" t="str">
        <f t="shared" si="58"/>
        <v/>
      </c>
      <c r="R108" s="108"/>
      <c r="S108" s="108"/>
      <c r="T108" s="111" t="str">
        <f t="shared" si="59"/>
        <v/>
      </c>
      <c r="U108" s="121"/>
      <c r="V108" s="121"/>
      <c r="W108" s="121"/>
      <c r="X108" s="112" t="str">
        <f t="shared" si="60"/>
        <v/>
      </c>
      <c r="Y108" s="113" t="str">
        <f t="shared" si="61"/>
        <v/>
      </c>
      <c r="Z108" s="111" t="str">
        <f t="shared" si="62"/>
        <v/>
      </c>
      <c r="AA108" s="113" t="str">
        <f t="shared" si="63"/>
        <v/>
      </c>
      <c r="AB108" s="111" t="str">
        <f t="shared" si="64"/>
        <v/>
      </c>
      <c r="AC108" s="114" t="str">
        <f t="shared" si="65"/>
        <v/>
      </c>
      <c r="AD108" s="129"/>
      <c r="AE108" s="126"/>
      <c r="AF108" s="107"/>
      <c r="AG108" s="107"/>
      <c r="AH108" s="109"/>
      <c r="AI108" s="109"/>
      <c r="AJ108" s="107"/>
      <c r="AK108" s="106"/>
    </row>
    <row r="109" spans="1:37" x14ac:dyDescent="0.2">
      <c r="A109" s="135"/>
      <c r="B109" s="132"/>
      <c r="C109" s="132"/>
      <c r="D109" s="132"/>
      <c r="E109" s="132"/>
      <c r="F109" s="132"/>
      <c r="G109" s="135"/>
      <c r="H109" s="138"/>
      <c r="I109" s="141"/>
      <c r="J109" s="144"/>
      <c r="K109" s="141"/>
      <c r="L109" s="138"/>
      <c r="M109" s="141"/>
      <c r="N109" s="147"/>
      <c r="O109" s="106">
        <v>3</v>
      </c>
      <c r="P109" s="120"/>
      <c r="Q109" s="110" t="str">
        <f t="shared" si="58"/>
        <v/>
      </c>
      <c r="R109" s="108"/>
      <c r="S109" s="108"/>
      <c r="T109" s="111" t="str">
        <f t="shared" si="59"/>
        <v/>
      </c>
      <c r="U109" s="121"/>
      <c r="V109" s="121"/>
      <c r="W109" s="121"/>
      <c r="X109" s="112" t="str">
        <f t="shared" si="60"/>
        <v/>
      </c>
      <c r="Y109" s="113" t="str">
        <f t="shared" si="61"/>
        <v/>
      </c>
      <c r="Z109" s="111" t="str">
        <f t="shared" si="62"/>
        <v/>
      </c>
      <c r="AA109" s="113" t="str">
        <f t="shared" si="63"/>
        <v/>
      </c>
      <c r="AB109" s="111" t="str">
        <f t="shared" si="64"/>
        <v/>
      </c>
      <c r="AC109" s="114" t="str">
        <f t="shared" si="65"/>
        <v/>
      </c>
      <c r="AD109" s="129"/>
      <c r="AE109" s="127"/>
      <c r="AF109" s="107"/>
      <c r="AG109" s="107"/>
      <c r="AH109" s="109"/>
      <c r="AI109" s="109"/>
      <c r="AJ109" s="107"/>
      <c r="AK109" s="106"/>
    </row>
    <row r="110" spans="1:37" x14ac:dyDescent="0.2">
      <c r="A110" s="135"/>
      <c r="B110" s="132"/>
      <c r="C110" s="132"/>
      <c r="D110" s="132"/>
      <c r="E110" s="132"/>
      <c r="F110" s="132"/>
      <c r="G110" s="135"/>
      <c r="H110" s="138"/>
      <c r="I110" s="141"/>
      <c r="J110" s="144"/>
      <c r="K110" s="141"/>
      <c r="L110" s="138"/>
      <c r="M110" s="141"/>
      <c r="N110" s="147"/>
      <c r="O110" s="106">
        <v>4</v>
      </c>
      <c r="P110" s="120"/>
      <c r="Q110" s="110" t="str">
        <f t="shared" si="58"/>
        <v/>
      </c>
      <c r="R110" s="108"/>
      <c r="S110" s="108"/>
      <c r="T110" s="111" t="str">
        <f t="shared" si="59"/>
        <v/>
      </c>
      <c r="U110" s="121"/>
      <c r="V110" s="121"/>
      <c r="W110" s="121"/>
      <c r="X110" s="112" t="str">
        <f t="shared" si="60"/>
        <v/>
      </c>
      <c r="Y110" s="113" t="str">
        <f t="shared" si="61"/>
        <v/>
      </c>
      <c r="Z110" s="111" t="str">
        <f t="shared" si="62"/>
        <v/>
      </c>
      <c r="AA110" s="113" t="str">
        <f t="shared" si="63"/>
        <v/>
      </c>
      <c r="AB110" s="111" t="str">
        <f t="shared" si="64"/>
        <v/>
      </c>
      <c r="AC110" s="114" t="str">
        <f t="shared" si="65"/>
        <v/>
      </c>
      <c r="AD110" s="129"/>
      <c r="AE110" s="108"/>
      <c r="AF110" s="107"/>
      <c r="AG110" s="107"/>
      <c r="AH110" s="109"/>
      <c r="AI110" s="109"/>
      <c r="AJ110" s="107"/>
      <c r="AK110" s="106"/>
    </row>
    <row r="111" spans="1:37" x14ac:dyDescent="0.2">
      <c r="A111" s="135"/>
      <c r="B111" s="132"/>
      <c r="C111" s="132"/>
      <c r="D111" s="132"/>
      <c r="E111" s="132"/>
      <c r="F111" s="132"/>
      <c r="G111" s="135"/>
      <c r="H111" s="138"/>
      <c r="I111" s="141"/>
      <c r="J111" s="144"/>
      <c r="K111" s="141"/>
      <c r="L111" s="138"/>
      <c r="M111" s="141"/>
      <c r="N111" s="147"/>
      <c r="O111" s="106">
        <v>5</v>
      </c>
      <c r="P111" s="120"/>
      <c r="Q111" s="110" t="str">
        <f t="shared" si="58"/>
        <v/>
      </c>
      <c r="R111" s="108"/>
      <c r="S111" s="108"/>
      <c r="T111" s="111" t="str">
        <f t="shared" si="59"/>
        <v/>
      </c>
      <c r="U111" s="121"/>
      <c r="V111" s="121"/>
      <c r="W111" s="121"/>
      <c r="X111" s="112" t="str">
        <f t="shared" si="60"/>
        <v/>
      </c>
      <c r="Y111" s="113" t="str">
        <f t="shared" si="61"/>
        <v/>
      </c>
      <c r="Z111" s="111" t="str">
        <f t="shared" si="62"/>
        <v/>
      </c>
      <c r="AA111" s="113" t="str">
        <f t="shared" si="63"/>
        <v/>
      </c>
      <c r="AB111" s="111" t="str">
        <f t="shared" si="64"/>
        <v/>
      </c>
      <c r="AC111" s="114" t="str">
        <f t="shared" si="65"/>
        <v/>
      </c>
      <c r="AD111" s="129"/>
      <c r="AE111" s="108"/>
      <c r="AF111" s="107"/>
      <c r="AG111" s="107"/>
      <c r="AH111" s="109"/>
      <c r="AI111" s="109"/>
      <c r="AJ111" s="107"/>
      <c r="AK111" s="106"/>
    </row>
    <row r="112" spans="1:37" x14ac:dyDescent="0.2">
      <c r="A112" s="135"/>
      <c r="B112" s="132"/>
      <c r="C112" s="132"/>
      <c r="D112" s="132"/>
      <c r="E112" s="132"/>
      <c r="F112" s="132"/>
      <c r="G112" s="135"/>
      <c r="H112" s="138"/>
      <c r="I112" s="141"/>
      <c r="J112" s="144"/>
      <c r="K112" s="141"/>
      <c r="L112" s="138"/>
      <c r="M112" s="141"/>
      <c r="N112" s="147"/>
      <c r="O112" s="106">
        <v>6</v>
      </c>
      <c r="P112" s="120"/>
      <c r="Q112" s="110" t="str">
        <f t="shared" si="58"/>
        <v/>
      </c>
      <c r="R112" s="108"/>
      <c r="S112" s="108"/>
      <c r="T112" s="111" t="str">
        <f t="shared" si="59"/>
        <v/>
      </c>
      <c r="U112" s="121"/>
      <c r="V112" s="121"/>
      <c r="W112" s="121"/>
      <c r="X112" s="112" t="str">
        <f t="shared" si="60"/>
        <v/>
      </c>
      <c r="Y112" s="113" t="str">
        <f t="shared" si="61"/>
        <v/>
      </c>
      <c r="Z112" s="111" t="str">
        <f t="shared" si="62"/>
        <v/>
      </c>
      <c r="AA112" s="113" t="str">
        <f t="shared" si="63"/>
        <v/>
      </c>
      <c r="AB112" s="111" t="str">
        <f t="shared" si="64"/>
        <v/>
      </c>
      <c r="AC112" s="114" t="str">
        <f t="shared" si="65"/>
        <v/>
      </c>
      <c r="AD112" s="129"/>
      <c r="AE112" s="108"/>
      <c r="AF112" s="107"/>
      <c r="AG112" s="107"/>
      <c r="AH112" s="109"/>
      <c r="AI112" s="109"/>
      <c r="AJ112" s="107"/>
      <c r="AK112" s="106"/>
    </row>
    <row r="113" spans="1:37" x14ac:dyDescent="0.2">
      <c r="A113" s="136"/>
      <c r="B113" s="133"/>
      <c r="C113" s="133"/>
      <c r="D113" s="133"/>
      <c r="E113" s="133"/>
      <c r="F113" s="133"/>
      <c r="G113" s="136"/>
      <c r="H113" s="139"/>
      <c r="I113" s="142"/>
      <c r="J113" s="145"/>
      <c r="K113" s="142"/>
      <c r="L113" s="139"/>
      <c r="M113" s="142"/>
      <c r="N113" s="148"/>
      <c r="O113" s="106">
        <v>7</v>
      </c>
      <c r="P113" s="120"/>
      <c r="Q113" s="110" t="str">
        <f t="shared" si="58"/>
        <v/>
      </c>
      <c r="R113" s="108"/>
      <c r="S113" s="108"/>
      <c r="T113" s="111" t="str">
        <f t="shared" si="59"/>
        <v/>
      </c>
      <c r="U113" s="121"/>
      <c r="V113" s="121"/>
      <c r="W113" s="121"/>
      <c r="X113" s="112" t="str">
        <f t="shared" si="60"/>
        <v/>
      </c>
      <c r="Y113" s="113" t="str">
        <f t="shared" si="61"/>
        <v/>
      </c>
      <c r="Z113" s="111" t="str">
        <f t="shared" si="62"/>
        <v/>
      </c>
      <c r="AA113" s="113" t="str">
        <f t="shared" si="63"/>
        <v/>
      </c>
      <c r="AB113" s="111" t="str">
        <f t="shared" si="64"/>
        <v/>
      </c>
      <c r="AC113" s="114" t="str">
        <f t="shared" si="65"/>
        <v/>
      </c>
      <c r="AD113" s="130"/>
      <c r="AE113" s="108"/>
      <c r="AF113" s="107"/>
      <c r="AG113" s="107"/>
      <c r="AH113" s="109"/>
      <c r="AI113" s="109"/>
      <c r="AJ113" s="107"/>
      <c r="AK113" s="106"/>
    </row>
    <row r="114" spans="1:37" ht="16.5" customHeight="1" x14ac:dyDescent="0.2">
      <c r="A114" s="134">
        <v>15</v>
      </c>
      <c r="B114" s="131"/>
      <c r="C114" s="131"/>
      <c r="D114" s="131"/>
      <c r="E114" s="131"/>
      <c r="F114" s="131"/>
      <c r="G114" s="134"/>
      <c r="H114" s="137" t="str">
        <f t="shared" ref="H114" si="86">IF(G114&lt;=0,"",IF(G114&lt;=2,"Muy Baja",IF(G114&lt;=24,"Baja",IF(G114&lt;=500,"Media",IF(G114&lt;=5000,"Alta","Muy Alta")))))</f>
        <v/>
      </c>
      <c r="I114" s="140" t="str">
        <f t="shared" ref="I114" si="87">IF(H114="","",IF(H114="Muy Baja",0.2,IF(H114="Baja",0.4,IF(H114="Media",0.6,IF(H114="Alta",0.8,IF(H114="Muy Alta",1,))))))</f>
        <v/>
      </c>
      <c r="J114" s="143"/>
      <c r="K114" s="140">
        <f>IF(NOT(ISERROR(MATCH(J114,'[1]Tabla Impacto'!$B$221:$B$223,0))),'[1]Tabla Impacto'!$F$223&amp;"Por favor no seleccionar los criterios de impacto(Afectación Económica o presupuestal y Pérdida Reputacional)",J114)</f>
        <v>0</v>
      </c>
      <c r="L114" s="137" t="str">
        <f>IF(OR(K114='[1]Tabla Impacto'!$C$11,K114='[1]Tabla Impacto'!$D$11),"Leve",IF(OR(K114='[1]Tabla Impacto'!$C$12,K114='[1]Tabla Impacto'!$D$12),"Menor",IF(OR(K114='[1]Tabla Impacto'!$C$13,K114='[1]Tabla Impacto'!$D$13),"Moderado",IF(OR(K114='[1]Tabla Impacto'!$C$14,K114='[1]Tabla Impacto'!$D$14),"Mayor",IF(OR(K114='[1]Tabla Impacto'!$C$15,K114='[1]Tabla Impacto'!$D$15),"Catastrófico","")))))</f>
        <v/>
      </c>
      <c r="M114" s="140" t="str">
        <f t="shared" ref="M114" si="88">IF(L114="","",IF(L114="Leve",0.2,IF(L114="Menor",0.4,IF(L114="Moderado",0.6,IF(L114="Mayor",0.8,IF(L114="Catastrófico",1,))))))</f>
        <v/>
      </c>
      <c r="N114" s="146" t="str">
        <f t="shared" ref="N114" si="89">IF(OR(AND(H114="Muy Baja",L114="Leve"),AND(H114="Muy Baja",L114="Menor"),AND(H114="Baja",L114="Leve")),"Bajo",IF(OR(AND(H114="Muy baja",L114="Moderado"),AND(H114="Baja",L114="Menor"),AND(H114="Baja",L114="Moderado"),AND(H114="Media",L114="Leve"),AND(H114="Media",L114="Menor"),AND(H114="Media",L114="Moderado"),AND(H114="Alta",L114="Leve"),AND(H114="Alta",L114="Menor")),"Moderado",IF(OR(AND(H114="Muy Baja",L114="Mayor"),AND(H114="Baja",L114="Mayor"),AND(H114="Media",L114="Mayor"),AND(H114="Alta",L114="Moderado"),AND(H114="Alta",L114="Mayor"),AND(H114="Muy Alta",L114="Leve"),AND(H114="Muy Alta",L114="Menor"),AND(H114="Muy Alta",L114="Moderado"),AND(H114="Muy Alta",L114="Mayor")),"Alto",IF(OR(AND(H114="Muy Baja",L114="Catastrófico"),AND(H114="Baja",L114="Catastrófico"),AND(H114="Media",L114="Catastrófico"),AND(H114="Alta",L114="Catastrófico"),AND(H114="Muy Alta",L114="Catastrófico")),"Extremo",""))))</f>
        <v/>
      </c>
      <c r="O114" s="106">
        <v>1</v>
      </c>
      <c r="P114" s="120"/>
      <c r="Q114" s="110" t="str">
        <f t="shared" si="58"/>
        <v/>
      </c>
      <c r="R114" s="108"/>
      <c r="S114" s="108"/>
      <c r="T114" s="111" t="str">
        <f t="shared" si="59"/>
        <v/>
      </c>
      <c r="U114" s="121"/>
      <c r="V114" s="121"/>
      <c r="W114" s="121"/>
      <c r="X114" s="112" t="str">
        <f t="shared" si="60"/>
        <v/>
      </c>
      <c r="Y114" s="113" t="str">
        <f t="shared" si="61"/>
        <v/>
      </c>
      <c r="Z114" s="111" t="str">
        <f t="shared" si="62"/>
        <v/>
      </c>
      <c r="AA114" s="113" t="str">
        <f t="shared" si="63"/>
        <v/>
      </c>
      <c r="AB114" s="111" t="str">
        <f t="shared" si="64"/>
        <v/>
      </c>
      <c r="AC114" s="114" t="str">
        <f t="shared" si="65"/>
        <v/>
      </c>
      <c r="AD114" s="128" t="b">
        <f t="shared" ref="AD114" si="90">IFERROR(IF(OR(AND(AC114="Bajo",AC115="Bajo",AC116="Bajo"),AND(AC114="Bajo",AC115="Bajo",AC116=""),AND(AC114="Bajo",AC115="",AC116="")),"Bajo",IF(OR(AND(AC114="Bajo",AC115="Bajo",AC116="Moderado"),AND(AC114="Bajo",AC115="Moderado",AC116="Moderado"),AND(AC114="Moderado",AC115="Moderado",AC116="Moderado"),AND(AC114="Bajo",AC115="Moderado",AC116=""),AND(AC114="Moderado",AC115="Bajo",AC116=""),AND(AC114="Moderado",AC115="Moderado",AC116=""),AND(AC114="Moderado",AC115="",AC116="")),"Moderado",IF(OR(AND(AC114="Bajo",AC115="Bajo",AC116="Alto"),AND(AC114="Bajo",AC115="Moderado",AC116="Alto"),AND(AC114="Moderado",AC115="Bajo",AC116="Alto"),AND(AC114="Moderado",AC115="Alto",AC116="Bajo"),AND(AC114="Moderado",AC115="Moderado",AC116="Alto"),AND(AC114="Alto",AC115="Bajo",AC116="Bajo"),AND(AC114="Alto",AC115="Moderado",AC116="Bajo"),AND(AC114="Alto",AC115="Moderado",AC116="Moderado"),AND(AC114="Alto",AC115="Alto",AC116="Bajo"),AND(AC114="Alto",AC115="Alto",AC116="Moderado"),AND(AC114="Alto",AC115="Alto",AC116="Alto"),AND(AC114="Alto",AC115="Bajo",AC116=""),AND(AC114="Alto",AC115="Moderado",AC116=""),AND(AC114="Alto",AC115="Alto",AC116=""),AND(AC114="Bajo",AC115="Alto",AC116=""),AND(AC114="Moderado",AC115="Alto",AC116=""),AND(AC114="Alto",AC115="",AC116="")),"Alto",IF(OR(AND(AC114="Bajo",AC115="Bajo",AC116="Extremo"),AND(AC114="Bajo",AC115="Moderado",AC116="Extremo"),AND(AC114="Bajo",AC115="Alto",AC116="Extremo"),AND(AC114="Moderado",AC115="Bajo",AC116="Extremo"),AND(AC114="Moderado",AC115="Alto",AC116="Extremo"),AND(AC114="Moderado",AC115="Moderado",AC116="Extremo"),AND(AC114="Alto",AC115="Bajo",AC116="Extremo"),AND(AC114="Alto",AC115="Moderado",AC116="Extremo"),AND(AC114="Alto",AC115="Alto",AC116="Extremo"),AND(AC114="Extremo",AC115="Bajo",AC116="Bajo"),AND(AC114="Extremo",AC115="Bajo",AC116="Moderado"),AND(AC114="Extremo",AC115="Bajo",AC116="Alto"),AND(AC114="Extremo",AC115="Moderado",AC116="Bajo"),AND(AC114="Extremo",AC115="Moderado",AC116="Moderado"),AND(AC114="Extremo",AC115="Moderado",AC116="Alto"),AND(AC114="Extremo",AC115="Alto",AC116="Bajo"),AND(AC114="Extremo",AC115="Alto",AC116="Moderado"),AND(AC114="Extremo",AC115="Alto",AC116="Alto"),AND(AC114="Extremo",AC115="Extremo",AC116="Bajo"),AND(AC114="Extremo",AC115="Extremo",AC116="Moderado"),AND(AC114="Extremo",AC115="Extremo",AC116="Alto"),AND(AC114="Extremo",AC115="Extremo",AC116="Extremo"),AND(AC114="Extremo",AC115="Bajo",AC116=""),AND(AC114="Extremo",AC115="Moderado",AC116=""),AND(AC114="Extremo",AC115="Alto",AC116=""),AND(AC114="Extremo",AC115="",AC116="")),"Extremo")))),"")</f>
        <v>0</v>
      </c>
      <c r="AE114" s="125"/>
      <c r="AF114" s="107"/>
      <c r="AG114" s="107"/>
      <c r="AH114" s="109"/>
      <c r="AI114" s="109"/>
      <c r="AJ114" s="107"/>
      <c r="AK114" s="106"/>
    </row>
    <row r="115" spans="1:37" x14ac:dyDescent="0.2">
      <c r="A115" s="135"/>
      <c r="B115" s="132"/>
      <c r="C115" s="132"/>
      <c r="D115" s="132"/>
      <c r="E115" s="132"/>
      <c r="F115" s="132"/>
      <c r="G115" s="135"/>
      <c r="H115" s="138"/>
      <c r="I115" s="141"/>
      <c r="J115" s="144"/>
      <c r="K115" s="141"/>
      <c r="L115" s="138"/>
      <c r="M115" s="141"/>
      <c r="N115" s="147"/>
      <c r="O115" s="106">
        <v>2</v>
      </c>
      <c r="P115" s="120"/>
      <c r="Q115" s="110" t="str">
        <f t="shared" si="58"/>
        <v/>
      </c>
      <c r="R115" s="108"/>
      <c r="S115" s="108"/>
      <c r="T115" s="111" t="str">
        <f t="shared" si="59"/>
        <v/>
      </c>
      <c r="U115" s="121"/>
      <c r="V115" s="121"/>
      <c r="W115" s="121"/>
      <c r="X115" s="112" t="str">
        <f t="shared" si="60"/>
        <v/>
      </c>
      <c r="Y115" s="113" t="str">
        <f t="shared" si="61"/>
        <v/>
      </c>
      <c r="Z115" s="111" t="str">
        <f t="shared" si="62"/>
        <v/>
      </c>
      <c r="AA115" s="113" t="str">
        <f t="shared" si="63"/>
        <v/>
      </c>
      <c r="AB115" s="111" t="str">
        <f t="shared" si="64"/>
        <v/>
      </c>
      <c r="AC115" s="114" t="str">
        <f t="shared" si="65"/>
        <v/>
      </c>
      <c r="AD115" s="129"/>
      <c r="AE115" s="126"/>
      <c r="AF115" s="107"/>
      <c r="AG115" s="107"/>
      <c r="AH115" s="109"/>
      <c r="AI115" s="109"/>
      <c r="AJ115" s="107"/>
      <c r="AK115" s="106"/>
    </row>
    <row r="116" spans="1:37" x14ac:dyDescent="0.2">
      <c r="A116" s="135"/>
      <c r="B116" s="132"/>
      <c r="C116" s="132"/>
      <c r="D116" s="132"/>
      <c r="E116" s="132"/>
      <c r="F116" s="132"/>
      <c r="G116" s="135"/>
      <c r="H116" s="138"/>
      <c r="I116" s="141"/>
      <c r="J116" s="144"/>
      <c r="K116" s="141"/>
      <c r="L116" s="138"/>
      <c r="M116" s="141"/>
      <c r="N116" s="147"/>
      <c r="O116" s="106">
        <v>3</v>
      </c>
      <c r="P116" s="120"/>
      <c r="Q116" s="110" t="str">
        <f t="shared" si="58"/>
        <v/>
      </c>
      <c r="R116" s="108"/>
      <c r="S116" s="108"/>
      <c r="T116" s="111" t="str">
        <f t="shared" si="59"/>
        <v/>
      </c>
      <c r="U116" s="121"/>
      <c r="V116" s="121"/>
      <c r="W116" s="121"/>
      <c r="X116" s="112" t="str">
        <f t="shared" si="60"/>
        <v/>
      </c>
      <c r="Y116" s="113" t="str">
        <f t="shared" si="61"/>
        <v/>
      </c>
      <c r="Z116" s="111" t="str">
        <f t="shared" si="62"/>
        <v/>
      </c>
      <c r="AA116" s="113" t="str">
        <f t="shared" si="63"/>
        <v/>
      </c>
      <c r="AB116" s="111" t="str">
        <f t="shared" si="64"/>
        <v/>
      </c>
      <c r="AC116" s="114" t="str">
        <f t="shared" si="65"/>
        <v/>
      </c>
      <c r="AD116" s="129"/>
      <c r="AE116" s="127"/>
      <c r="AF116" s="107"/>
      <c r="AG116" s="107"/>
      <c r="AH116" s="109"/>
      <c r="AI116" s="109"/>
      <c r="AJ116" s="107"/>
      <c r="AK116" s="106"/>
    </row>
    <row r="117" spans="1:37" x14ac:dyDescent="0.2">
      <c r="A117" s="135"/>
      <c r="B117" s="132"/>
      <c r="C117" s="132"/>
      <c r="D117" s="132"/>
      <c r="E117" s="132"/>
      <c r="F117" s="132"/>
      <c r="G117" s="135"/>
      <c r="H117" s="138"/>
      <c r="I117" s="141"/>
      <c r="J117" s="144"/>
      <c r="K117" s="141"/>
      <c r="L117" s="138"/>
      <c r="M117" s="141"/>
      <c r="N117" s="147"/>
      <c r="O117" s="106">
        <v>4</v>
      </c>
      <c r="P117" s="120"/>
      <c r="Q117" s="110" t="str">
        <f t="shared" si="58"/>
        <v/>
      </c>
      <c r="R117" s="108"/>
      <c r="S117" s="108"/>
      <c r="T117" s="111" t="str">
        <f t="shared" si="59"/>
        <v/>
      </c>
      <c r="U117" s="121"/>
      <c r="V117" s="121"/>
      <c r="W117" s="121"/>
      <c r="X117" s="112" t="str">
        <f t="shared" si="60"/>
        <v/>
      </c>
      <c r="Y117" s="113" t="str">
        <f t="shared" si="61"/>
        <v/>
      </c>
      <c r="Z117" s="111" t="str">
        <f t="shared" si="62"/>
        <v/>
      </c>
      <c r="AA117" s="113" t="str">
        <f t="shared" si="63"/>
        <v/>
      </c>
      <c r="AB117" s="111" t="str">
        <f t="shared" si="64"/>
        <v/>
      </c>
      <c r="AC117" s="114" t="str">
        <f t="shared" si="65"/>
        <v/>
      </c>
      <c r="AD117" s="129"/>
      <c r="AE117" s="108"/>
      <c r="AF117" s="107"/>
      <c r="AG117" s="107"/>
      <c r="AH117" s="109"/>
      <c r="AI117" s="109"/>
      <c r="AJ117" s="107"/>
      <c r="AK117" s="106"/>
    </row>
    <row r="118" spans="1:37" x14ac:dyDescent="0.2">
      <c r="A118" s="135"/>
      <c r="B118" s="132"/>
      <c r="C118" s="132"/>
      <c r="D118" s="132"/>
      <c r="E118" s="132"/>
      <c r="F118" s="132"/>
      <c r="G118" s="135"/>
      <c r="H118" s="138"/>
      <c r="I118" s="141"/>
      <c r="J118" s="144"/>
      <c r="K118" s="141"/>
      <c r="L118" s="138"/>
      <c r="M118" s="141"/>
      <c r="N118" s="147"/>
      <c r="O118" s="106">
        <v>5</v>
      </c>
      <c r="P118" s="120"/>
      <c r="Q118" s="110" t="str">
        <f t="shared" si="58"/>
        <v/>
      </c>
      <c r="R118" s="108"/>
      <c r="S118" s="108"/>
      <c r="T118" s="111" t="str">
        <f t="shared" si="59"/>
        <v/>
      </c>
      <c r="U118" s="121"/>
      <c r="V118" s="121"/>
      <c r="W118" s="121"/>
      <c r="X118" s="112" t="str">
        <f t="shared" si="60"/>
        <v/>
      </c>
      <c r="Y118" s="113" t="str">
        <f t="shared" si="61"/>
        <v/>
      </c>
      <c r="Z118" s="111" t="str">
        <f t="shared" si="62"/>
        <v/>
      </c>
      <c r="AA118" s="113" t="str">
        <f t="shared" si="63"/>
        <v/>
      </c>
      <c r="AB118" s="111" t="str">
        <f t="shared" si="64"/>
        <v/>
      </c>
      <c r="AC118" s="114" t="str">
        <f t="shared" si="65"/>
        <v/>
      </c>
      <c r="AD118" s="129"/>
      <c r="AE118" s="108"/>
      <c r="AF118" s="107"/>
      <c r="AG118" s="107"/>
      <c r="AH118" s="109"/>
      <c r="AI118" s="109"/>
      <c r="AJ118" s="107"/>
      <c r="AK118" s="106"/>
    </row>
    <row r="119" spans="1:37" x14ac:dyDescent="0.2">
      <c r="A119" s="135"/>
      <c r="B119" s="132"/>
      <c r="C119" s="132"/>
      <c r="D119" s="132"/>
      <c r="E119" s="132"/>
      <c r="F119" s="132"/>
      <c r="G119" s="135"/>
      <c r="H119" s="138"/>
      <c r="I119" s="141"/>
      <c r="J119" s="144"/>
      <c r="K119" s="141"/>
      <c r="L119" s="138"/>
      <c r="M119" s="141"/>
      <c r="N119" s="147"/>
      <c r="O119" s="106">
        <v>6</v>
      </c>
      <c r="P119" s="120"/>
      <c r="Q119" s="110" t="str">
        <f t="shared" si="58"/>
        <v/>
      </c>
      <c r="R119" s="108"/>
      <c r="S119" s="108"/>
      <c r="T119" s="111" t="str">
        <f t="shared" si="59"/>
        <v/>
      </c>
      <c r="U119" s="121"/>
      <c r="V119" s="121"/>
      <c r="W119" s="121"/>
      <c r="X119" s="112" t="str">
        <f t="shared" si="60"/>
        <v/>
      </c>
      <c r="Y119" s="113" t="str">
        <f t="shared" si="61"/>
        <v/>
      </c>
      <c r="Z119" s="111" t="str">
        <f t="shared" si="62"/>
        <v/>
      </c>
      <c r="AA119" s="113" t="str">
        <f t="shared" si="63"/>
        <v/>
      </c>
      <c r="AB119" s="111" t="str">
        <f t="shared" si="64"/>
        <v/>
      </c>
      <c r="AC119" s="114" t="str">
        <f t="shared" si="65"/>
        <v/>
      </c>
      <c r="AD119" s="129"/>
      <c r="AE119" s="108"/>
      <c r="AF119" s="107"/>
      <c r="AG119" s="107"/>
      <c r="AH119" s="109"/>
      <c r="AI119" s="109"/>
      <c r="AJ119" s="107"/>
      <c r="AK119" s="106"/>
    </row>
    <row r="120" spans="1:37" x14ac:dyDescent="0.2">
      <c r="A120" s="136"/>
      <c r="B120" s="133"/>
      <c r="C120" s="133"/>
      <c r="D120" s="133"/>
      <c r="E120" s="133"/>
      <c r="F120" s="133"/>
      <c r="G120" s="136"/>
      <c r="H120" s="139"/>
      <c r="I120" s="142"/>
      <c r="J120" s="145"/>
      <c r="K120" s="142"/>
      <c r="L120" s="139"/>
      <c r="M120" s="142"/>
      <c r="N120" s="148"/>
      <c r="O120" s="106">
        <v>7</v>
      </c>
      <c r="P120" s="120"/>
      <c r="Q120" s="110" t="str">
        <f t="shared" si="58"/>
        <v/>
      </c>
      <c r="R120" s="108"/>
      <c r="S120" s="108"/>
      <c r="T120" s="111" t="str">
        <f t="shared" si="59"/>
        <v/>
      </c>
      <c r="U120" s="121"/>
      <c r="V120" s="121"/>
      <c r="W120" s="121"/>
      <c r="X120" s="112" t="str">
        <f t="shared" si="60"/>
        <v/>
      </c>
      <c r="Y120" s="113" t="str">
        <f t="shared" si="61"/>
        <v/>
      </c>
      <c r="Z120" s="111" t="str">
        <f t="shared" si="62"/>
        <v/>
      </c>
      <c r="AA120" s="113" t="str">
        <f t="shared" si="63"/>
        <v/>
      </c>
      <c r="AB120" s="111" t="str">
        <f t="shared" si="64"/>
        <v/>
      </c>
      <c r="AC120" s="114" t="str">
        <f t="shared" si="65"/>
        <v/>
      </c>
      <c r="AD120" s="130"/>
      <c r="AE120" s="108"/>
      <c r="AF120" s="107"/>
      <c r="AG120" s="107"/>
      <c r="AH120" s="109"/>
      <c r="AI120" s="109"/>
      <c r="AJ120" s="107"/>
      <c r="AK120" s="106"/>
    </row>
    <row r="121" spans="1:37" ht="16.5" customHeight="1" x14ac:dyDescent="0.2">
      <c r="A121" s="134">
        <v>16</v>
      </c>
      <c r="B121" s="131"/>
      <c r="C121" s="131"/>
      <c r="D121" s="131"/>
      <c r="E121" s="131"/>
      <c r="F121" s="131"/>
      <c r="G121" s="134"/>
      <c r="H121" s="137" t="str">
        <f t="shared" ref="H121" si="91">IF(G121&lt;=0,"",IF(G121&lt;=2,"Muy Baja",IF(G121&lt;=24,"Baja",IF(G121&lt;=500,"Media",IF(G121&lt;=5000,"Alta","Muy Alta")))))</f>
        <v/>
      </c>
      <c r="I121" s="140" t="str">
        <f t="shared" ref="I121" si="92">IF(H121="","",IF(H121="Muy Baja",0.2,IF(H121="Baja",0.4,IF(H121="Media",0.6,IF(H121="Alta",0.8,IF(H121="Muy Alta",1,))))))</f>
        <v/>
      </c>
      <c r="J121" s="143"/>
      <c r="K121" s="140">
        <f>IF(NOT(ISERROR(MATCH(J121,'[1]Tabla Impacto'!$B$221:$B$223,0))),'[1]Tabla Impacto'!$F$223&amp;"Por favor no seleccionar los criterios de impacto(Afectación Económica o presupuestal y Pérdida Reputacional)",J121)</f>
        <v>0</v>
      </c>
      <c r="L121" s="137" t="str">
        <f>IF(OR(K121='[1]Tabla Impacto'!$C$11,K121='[1]Tabla Impacto'!$D$11),"Leve",IF(OR(K121='[1]Tabla Impacto'!$C$12,K121='[1]Tabla Impacto'!$D$12),"Menor",IF(OR(K121='[1]Tabla Impacto'!$C$13,K121='[1]Tabla Impacto'!$D$13),"Moderado",IF(OR(K121='[1]Tabla Impacto'!$C$14,K121='[1]Tabla Impacto'!$D$14),"Mayor",IF(OR(K121='[1]Tabla Impacto'!$C$15,K121='[1]Tabla Impacto'!$D$15),"Catastrófico","")))))</f>
        <v/>
      </c>
      <c r="M121" s="140" t="str">
        <f t="shared" ref="M121" si="93">IF(L121="","",IF(L121="Leve",0.2,IF(L121="Menor",0.4,IF(L121="Moderado",0.6,IF(L121="Mayor",0.8,IF(L121="Catastrófico",1,))))))</f>
        <v/>
      </c>
      <c r="N121" s="146" t="str">
        <f t="shared" ref="N121" si="94">IF(OR(AND(H121="Muy Baja",L121="Leve"),AND(H121="Muy Baja",L121="Menor"),AND(H121="Baja",L121="Leve")),"Bajo",IF(OR(AND(H121="Muy baja",L121="Moderado"),AND(H121="Baja",L121="Menor"),AND(H121="Baja",L121="Moderado"),AND(H121="Media",L121="Leve"),AND(H121="Media",L121="Menor"),AND(H121="Media",L121="Moderado"),AND(H121="Alta",L121="Leve"),AND(H121="Alta",L121="Menor")),"Moderado",IF(OR(AND(H121="Muy Baja",L121="Mayor"),AND(H121="Baja",L121="Mayor"),AND(H121="Media",L121="Mayor"),AND(H121="Alta",L121="Moderado"),AND(H121="Alta",L121="Mayor"),AND(H121="Muy Alta",L121="Leve"),AND(H121="Muy Alta",L121="Menor"),AND(H121="Muy Alta",L121="Moderado"),AND(H121="Muy Alta",L121="Mayor")),"Alto",IF(OR(AND(H121="Muy Baja",L121="Catastrófico"),AND(H121="Baja",L121="Catastrófico"),AND(H121="Media",L121="Catastrófico"),AND(H121="Alta",L121="Catastrófico"),AND(H121="Muy Alta",L121="Catastrófico")),"Extremo",""))))</f>
        <v/>
      </c>
      <c r="O121" s="106">
        <v>1</v>
      </c>
      <c r="P121" s="120"/>
      <c r="Q121" s="110" t="str">
        <f t="shared" si="58"/>
        <v/>
      </c>
      <c r="R121" s="108"/>
      <c r="S121" s="108"/>
      <c r="T121" s="111" t="str">
        <f t="shared" si="59"/>
        <v/>
      </c>
      <c r="U121" s="121"/>
      <c r="V121" s="121"/>
      <c r="W121" s="121"/>
      <c r="X121" s="112" t="str">
        <f t="shared" si="60"/>
        <v/>
      </c>
      <c r="Y121" s="113" t="str">
        <f t="shared" si="61"/>
        <v/>
      </c>
      <c r="Z121" s="111" t="str">
        <f t="shared" si="62"/>
        <v/>
      </c>
      <c r="AA121" s="113" t="str">
        <f t="shared" si="63"/>
        <v/>
      </c>
      <c r="AB121" s="111" t="str">
        <f t="shared" si="64"/>
        <v/>
      </c>
      <c r="AC121" s="114" t="str">
        <f t="shared" si="65"/>
        <v/>
      </c>
      <c r="AD121" s="128" t="b">
        <f t="shared" ref="AD121" si="95">IFERROR(IF(OR(AND(AC121="Bajo",AC122="Bajo",AC123="Bajo"),AND(AC121="Bajo",AC122="Bajo",AC123=""),AND(AC121="Bajo",AC122="",AC123="")),"Bajo",IF(OR(AND(AC121="Bajo",AC122="Bajo",AC123="Moderado"),AND(AC121="Bajo",AC122="Moderado",AC123="Moderado"),AND(AC121="Moderado",AC122="Moderado",AC123="Moderado"),AND(AC121="Bajo",AC122="Moderado",AC123=""),AND(AC121="Moderado",AC122="Bajo",AC123=""),AND(AC121="Moderado",AC122="Moderado",AC123=""),AND(AC121="Moderado",AC122="",AC123="")),"Moderado",IF(OR(AND(AC121="Bajo",AC122="Bajo",AC123="Alto"),AND(AC121="Bajo",AC122="Moderado",AC123="Alto"),AND(AC121="Moderado",AC122="Bajo",AC123="Alto"),AND(AC121="Moderado",AC122="Alto",AC123="Bajo"),AND(AC121="Moderado",AC122="Moderado",AC123="Alto"),AND(AC121="Alto",AC122="Bajo",AC123="Bajo"),AND(AC121="Alto",AC122="Moderado",AC123="Bajo"),AND(AC121="Alto",AC122="Moderado",AC123="Moderado"),AND(AC121="Alto",AC122="Alto",AC123="Bajo"),AND(AC121="Alto",AC122="Alto",AC123="Moderado"),AND(AC121="Alto",AC122="Alto",AC123="Alto"),AND(AC121="Alto",AC122="Bajo",AC123=""),AND(AC121="Alto",AC122="Moderado",AC123=""),AND(AC121="Alto",AC122="Alto",AC123=""),AND(AC121="Bajo",AC122="Alto",AC123=""),AND(AC121="Moderado",AC122="Alto",AC123=""),AND(AC121="Alto",AC122="",AC123="")),"Alto",IF(OR(AND(AC121="Bajo",AC122="Bajo",AC123="Extremo"),AND(AC121="Bajo",AC122="Moderado",AC123="Extremo"),AND(AC121="Bajo",AC122="Alto",AC123="Extremo"),AND(AC121="Moderado",AC122="Bajo",AC123="Extremo"),AND(AC121="Moderado",AC122="Alto",AC123="Extremo"),AND(AC121="Moderado",AC122="Moderado",AC123="Extremo"),AND(AC121="Alto",AC122="Bajo",AC123="Extremo"),AND(AC121="Alto",AC122="Moderado",AC123="Extremo"),AND(AC121="Alto",AC122="Alto",AC123="Extremo"),AND(AC121="Extremo",AC122="Bajo",AC123="Bajo"),AND(AC121="Extremo",AC122="Bajo",AC123="Moderado"),AND(AC121="Extremo",AC122="Bajo",AC123="Alto"),AND(AC121="Extremo",AC122="Moderado",AC123="Bajo"),AND(AC121="Extremo",AC122="Moderado",AC123="Moderado"),AND(AC121="Extremo",AC122="Moderado",AC123="Alto"),AND(AC121="Extremo",AC122="Alto",AC123="Bajo"),AND(AC121="Extremo",AC122="Alto",AC123="Moderado"),AND(AC121="Extremo",AC122="Alto",AC123="Alto"),AND(AC121="Extremo",AC122="Extremo",AC123="Bajo"),AND(AC121="Extremo",AC122="Extremo",AC123="Moderado"),AND(AC121="Extremo",AC122="Extremo",AC123="Alto"),AND(AC121="Extremo",AC122="Extremo",AC123="Extremo"),AND(AC121="Extremo",AC122="Bajo",AC123=""),AND(AC121="Extremo",AC122="Moderado",AC123=""),AND(AC121="Extremo",AC122="Alto",AC123=""),AND(AC121="Extremo",AC122="",AC123="")),"Extremo")))),"")</f>
        <v>0</v>
      </c>
      <c r="AE121" s="125"/>
      <c r="AF121" s="107"/>
      <c r="AG121" s="107"/>
      <c r="AH121" s="109"/>
      <c r="AI121" s="109"/>
      <c r="AJ121" s="107"/>
      <c r="AK121" s="106"/>
    </row>
    <row r="122" spans="1:37" x14ac:dyDescent="0.2">
      <c r="A122" s="135"/>
      <c r="B122" s="132"/>
      <c r="C122" s="132"/>
      <c r="D122" s="132"/>
      <c r="E122" s="132"/>
      <c r="F122" s="132"/>
      <c r="G122" s="135"/>
      <c r="H122" s="138"/>
      <c r="I122" s="141"/>
      <c r="J122" s="144"/>
      <c r="K122" s="141"/>
      <c r="L122" s="138"/>
      <c r="M122" s="141"/>
      <c r="N122" s="147"/>
      <c r="O122" s="106">
        <v>2</v>
      </c>
      <c r="P122" s="120"/>
      <c r="Q122" s="110" t="str">
        <f t="shared" si="58"/>
        <v/>
      </c>
      <c r="R122" s="108"/>
      <c r="S122" s="108"/>
      <c r="T122" s="111" t="str">
        <f t="shared" si="59"/>
        <v/>
      </c>
      <c r="U122" s="121"/>
      <c r="V122" s="121"/>
      <c r="W122" s="121"/>
      <c r="X122" s="112" t="str">
        <f t="shared" si="60"/>
        <v/>
      </c>
      <c r="Y122" s="113" t="str">
        <f t="shared" si="61"/>
        <v/>
      </c>
      <c r="Z122" s="111" t="str">
        <f t="shared" si="62"/>
        <v/>
      </c>
      <c r="AA122" s="113" t="str">
        <f t="shared" si="63"/>
        <v/>
      </c>
      <c r="AB122" s="111" t="str">
        <f t="shared" si="64"/>
        <v/>
      </c>
      <c r="AC122" s="114" t="str">
        <f t="shared" si="65"/>
        <v/>
      </c>
      <c r="AD122" s="129"/>
      <c r="AE122" s="126"/>
      <c r="AF122" s="107"/>
      <c r="AG122" s="107"/>
      <c r="AH122" s="109"/>
      <c r="AI122" s="109"/>
      <c r="AJ122" s="107"/>
      <c r="AK122" s="106"/>
    </row>
    <row r="123" spans="1:37" x14ac:dyDescent="0.2">
      <c r="A123" s="135"/>
      <c r="B123" s="132"/>
      <c r="C123" s="132"/>
      <c r="D123" s="132"/>
      <c r="E123" s="132"/>
      <c r="F123" s="132"/>
      <c r="G123" s="135"/>
      <c r="H123" s="138"/>
      <c r="I123" s="141"/>
      <c r="J123" s="144"/>
      <c r="K123" s="141"/>
      <c r="L123" s="138"/>
      <c r="M123" s="141"/>
      <c r="N123" s="147"/>
      <c r="O123" s="106">
        <v>3</v>
      </c>
      <c r="P123" s="120"/>
      <c r="Q123" s="110" t="str">
        <f t="shared" si="58"/>
        <v/>
      </c>
      <c r="R123" s="108"/>
      <c r="S123" s="108"/>
      <c r="T123" s="111" t="str">
        <f t="shared" si="59"/>
        <v/>
      </c>
      <c r="U123" s="121"/>
      <c r="V123" s="121"/>
      <c r="W123" s="121"/>
      <c r="X123" s="112" t="str">
        <f t="shared" si="60"/>
        <v/>
      </c>
      <c r="Y123" s="113" t="str">
        <f t="shared" si="61"/>
        <v/>
      </c>
      <c r="Z123" s="111" t="str">
        <f t="shared" si="62"/>
        <v/>
      </c>
      <c r="AA123" s="113" t="str">
        <f t="shared" si="63"/>
        <v/>
      </c>
      <c r="AB123" s="111" t="str">
        <f t="shared" si="64"/>
        <v/>
      </c>
      <c r="AC123" s="114" t="str">
        <f t="shared" si="65"/>
        <v/>
      </c>
      <c r="AD123" s="129"/>
      <c r="AE123" s="127"/>
      <c r="AF123" s="107"/>
      <c r="AG123" s="107"/>
      <c r="AH123" s="109"/>
      <c r="AI123" s="109"/>
      <c r="AJ123" s="107"/>
      <c r="AK123" s="106"/>
    </row>
    <row r="124" spans="1:37" x14ac:dyDescent="0.2">
      <c r="A124" s="135"/>
      <c r="B124" s="132"/>
      <c r="C124" s="132"/>
      <c r="D124" s="132"/>
      <c r="E124" s="132"/>
      <c r="F124" s="132"/>
      <c r="G124" s="135"/>
      <c r="H124" s="138"/>
      <c r="I124" s="141"/>
      <c r="J124" s="144"/>
      <c r="K124" s="141"/>
      <c r="L124" s="138"/>
      <c r="M124" s="141"/>
      <c r="N124" s="147"/>
      <c r="O124" s="106">
        <v>4</v>
      </c>
      <c r="P124" s="120"/>
      <c r="Q124" s="110" t="str">
        <f t="shared" si="58"/>
        <v/>
      </c>
      <c r="R124" s="108"/>
      <c r="S124" s="108"/>
      <c r="T124" s="111" t="str">
        <f t="shared" si="59"/>
        <v/>
      </c>
      <c r="U124" s="121"/>
      <c r="V124" s="121"/>
      <c r="W124" s="121"/>
      <c r="X124" s="112" t="str">
        <f t="shared" si="60"/>
        <v/>
      </c>
      <c r="Y124" s="113" t="str">
        <f t="shared" si="61"/>
        <v/>
      </c>
      <c r="Z124" s="111" t="str">
        <f t="shared" si="62"/>
        <v/>
      </c>
      <c r="AA124" s="113" t="str">
        <f t="shared" si="63"/>
        <v/>
      </c>
      <c r="AB124" s="111" t="str">
        <f t="shared" si="64"/>
        <v/>
      </c>
      <c r="AC124" s="114" t="str">
        <f t="shared" si="65"/>
        <v/>
      </c>
      <c r="AD124" s="129"/>
      <c r="AE124" s="108"/>
      <c r="AF124" s="107"/>
      <c r="AG124" s="107"/>
      <c r="AH124" s="109"/>
      <c r="AI124" s="109"/>
      <c r="AJ124" s="107"/>
      <c r="AK124" s="106"/>
    </row>
    <row r="125" spans="1:37" x14ac:dyDescent="0.2">
      <c r="A125" s="135"/>
      <c r="B125" s="132"/>
      <c r="C125" s="132"/>
      <c r="D125" s="132"/>
      <c r="E125" s="132"/>
      <c r="F125" s="132"/>
      <c r="G125" s="135"/>
      <c r="H125" s="138"/>
      <c r="I125" s="141"/>
      <c r="J125" s="144"/>
      <c r="K125" s="141"/>
      <c r="L125" s="138"/>
      <c r="M125" s="141"/>
      <c r="N125" s="147"/>
      <c r="O125" s="106">
        <v>5</v>
      </c>
      <c r="P125" s="120"/>
      <c r="Q125" s="110" t="str">
        <f t="shared" si="58"/>
        <v/>
      </c>
      <c r="R125" s="108"/>
      <c r="S125" s="108"/>
      <c r="T125" s="111" t="str">
        <f t="shared" si="59"/>
        <v/>
      </c>
      <c r="U125" s="121"/>
      <c r="V125" s="121"/>
      <c r="W125" s="121"/>
      <c r="X125" s="112" t="str">
        <f t="shared" si="60"/>
        <v/>
      </c>
      <c r="Y125" s="113" t="str">
        <f t="shared" si="61"/>
        <v/>
      </c>
      <c r="Z125" s="111" t="str">
        <f t="shared" si="62"/>
        <v/>
      </c>
      <c r="AA125" s="113" t="str">
        <f t="shared" si="63"/>
        <v/>
      </c>
      <c r="AB125" s="111" t="str">
        <f t="shared" si="64"/>
        <v/>
      </c>
      <c r="AC125" s="114" t="str">
        <f t="shared" si="65"/>
        <v/>
      </c>
      <c r="AD125" s="129"/>
      <c r="AE125" s="108"/>
      <c r="AF125" s="107"/>
      <c r="AG125" s="107"/>
      <c r="AH125" s="109"/>
      <c r="AI125" s="109"/>
      <c r="AJ125" s="107"/>
      <c r="AK125" s="106"/>
    </row>
    <row r="126" spans="1:37" x14ac:dyDescent="0.2">
      <c r="A126" s="135"/>
      <c r="B126" s="132"/>
      <c r="C126" s="132"/>
      <c r="D126" s="132"/>
      <c r="E126" s="132"/>
      <c r="F126" s="132"/>
      <c r="G126" s="135"/>
      <c r="H126" s="138"/>
      <c r="I126" s="141"/>
      <c r="J126" s="144"/>
      <c r="K126" s="141"/>
      <c r="L126" s="138"/>
      <c r="M126" s="141"/>
      <c r="N126" s="147"/>
      <c r="O126" s="106">
        <v>6</v>
      </c>
      <c r="P126" s="120"/>
      <c r="Q126" s="110" t="str">
        <f t="shared" si="58"/>
        <v/>
      </c>
      <c r="R126" s="108"/>
      <c r="S126" s="108"/>
      <c r="T126" s="111" t="str">
        <f t="shared" si="59"/>
        <v/>
      </c>
      <c r="U126" s="121"/>
      <c r="V126" s="121"/>
      <c r="W126" s="121"/>
      <c r="X126" s="112" t="str">
        <f t="shared" si="60"/>
        <v/>
      </c>
      <c r="Y126" s="113" t="str">
        <f t="shared" si="61"/>
        <v/>
      </c>
      <c r="Z126" s="111" t="str">
        <f t="shared" si="62"/>
        <v/>
      </c>
      <c r="AA126" s="113" t="str">
        <f t="shared" si="63"/>
        <v/>
      </c>
      <c r="AB126" s="111" t="str">
        <f t="shared" si="64"/>
        <v/>
      </c>
      <c r="AC126" s="114" t="str">
        <f t="shared" si="65"/>
        <v/>
      </c>
      <c r="AD126" s="129"/>
      <c r="AE126" s="108"/>
      <c r="AF126" s="107"/>
      <c r="AG126" s="107"/>
      <c r="AH126" s="109"/>
      <c r="AI126" s="109"/>
      <c r="AJ126" s="107"/>
      <c r="AK126" s="106"/>
    </row>
    <row r="127" spans="1:37" x14ac:dyDescent="0.2">
      <c r="A127" s="136"/>
      <c r="B127" s="133"/>
      <c r="C127" s="133"/>
      <c r="D127" s="133"/>
      <c r="E127" s="133"/>
      <c r="F127" s="133"/>
      <c r="G127" s="136"/>
      <c r="H127" s="139"/>
      <c r="I127" s="142"/>
      <c r="J127" s="145"/>
      <c r="K127" s="142"/>
      <c r="L127" s="139"/>
      <c r="M127" s="142"/>
      <c r="N127" s="148"/>
      <c r="O127" s="106">
        <v>7</v>
      </c>
      <c r="P127" s="120"/>
      <c r="Q127" s="110" t="str">
        <f t="shared" si="58"/>
        <v/>
      </c>
      <c r="R127" s="108"/>
      <c r="S127" s="108"/>
      <c r="T127" s="111" t="str">
        <f t="shared" si="59"/>
        <v/>
      </c>
      <c r="U127" s="121"/>
      <c r="V127" s="121"/>
      <c r="W127" s="121"/>
      <c r="X127" s="112" t="str">
        <f t="shared" si="60"/>
        <v/>
      </c>
      <c r="Y127" s="113" t="str">
        <f t="shared" si="61"/>
        <v/>
      </c>
      <c r="Z127" s="111" t="str">
        <f t="shared" si="62"/>
        <v/>
      </c>
      <c r="AA127" s="113" t="str">
        <f t="shared" si="63"/>
        <v/>
      </c>
      <c r="AB127" s="111" t="str">
        <f t="shared" si="64"/>
        <v/>
      </c>
      <c r="AC127" s="114" t="str">
        <f t="shared" si="65"/>
        <v/>
      </c>
      <c r="AD127" s="130"/>
      <c r="AE127" s="108"/>
      <c r="AF127" s="107"/>
      <c r="AG127" s="107"/>
      <c r="AH127" s="109"/>
      <c r="AI127" s="109"/>
      <c r="AJ127" s="107"/>
      <c r="AK127" s="106"/>
    </row>
    <row r="128" spans="1:37" s="117" customFormat="1" x14ac:dyDescent="0.2">
      <c r="A128" s="110"/>
      <c r="B128" s="159" t="s">
        <v>216</v>
      </c>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c r="AK128" s="159"/>
    </row>
    <row r="129" spans="2:30" x14ac:dyDescent="0.3">
      <c r="B129" s="119" t="s">
        <v>92</v>
      </c>
      <c r="AD129" s="116"/>
    </row>
    <row r="130" spans="2:30" x14ac:dyDescent="0.3">
      <c r="AD130" s="116"/>
    </row>
  </sheetData>
  <sheetProtection algorithmName="SHA-512" hashValue="Jl5cT7znXI66K/ZsPUvNEv3ceQRlpUk93NE+4fZZzX5cKZYtO2Le0k+q9QAQNxadhy52ko4zJDVPL4CYh34MUw==" saltValue="1pmm7eQyLG2baoliv8TCRA==" spinCount="100000" sheet="1" formatCells="0" formatColumns="0" formatRows="0" insertRows="0" insertHyperlinks="0" deleteRows="0" selectLockedCells="1" sort="0" autoFilter="0"/>
  <mergeCells count="316">
    <mergeCell ref="AE16:AE18"/>
    <mergeCell ref="AD16:AD22"/>
    <mergeCell ref="A7:AK8"/>
    <mergeCell ref="A10:B10"/>
    <mergeCell ref="C10:N10"/>
    <mergeCell ref="O10:Q10"/>
    <mergeCell ref="A11:B11"/>
    <mergeCell ref="A1:D5"/>
    <mergeCell ref="E1:AK1"/>
    <mergeCell ref="E2:AK2"/>
    <mergeCell ref="E3:AK3"/>
    <mergeCell ref="E4:M4"/>
    <mergeCell ref="E5:M5"/>
    <mergeCell ref="N4:X4"/>
    <mergeCell ref="N5:X5"/>
    <mergeCell ref="Y4:AG4"/>
    <mergeCell ref="Y5:AG5"/>
    <mergeCell ref="AH4:AK4"/>
    <mergeCell ref="AH5:AK5"/>
    <mergeCell ref="AJ14:AJ15"/>
    <mergeCell ref="AK14:AK15"/>
    <mergeCell ref="A12:B12"/>
    <mergeCell ref="A13:G13"/>
    <mergeCell ref="H13:N13"/>
    <mergeCell ref="AF13:AK13"/>
    <mergeCell ref="A14:A15"/>
    <mergeCell ref="P14:P15"/>
    <mergeCell ref="Q14:Q15"/>
    <mergeCell ref="R14:W14"/>
    <mergeCell ref="X14:X15"/>
    <mergeCell ref="Y14:Y15"/>
    <mergeCell ref="F14:F15"/>
    <mergeCell ref="G14:G15"/>
    <mergeCell ref="H14:H15"/>
    <mergeCell ref="I14:I15"/>
    <mergeCell ref="AF14:AF15"/>
    <mergeCell ref="AG14:AG15"/>
    <mergeCell ref="AH14:AH15"/>
    <mergeCell ref="AI14:AI15"/>
    <mergeCell ref="B128:AK128"/>
    <mergeCell ref="AE72:AE74"/>
    <mergeCell ref="AE58:AE60"/>
    <mergeCell ref="AE65:AE67"/>
    <mergeCell ref="J44:J50"/>
    <mergeCell ref="K44:K50"/>
    <mergeCell ref="B51:B57"/>
    <mergeCell ref="C51:C57"/>
    <mergeCell ref="D51:D57"/>
    <mergeCell ref="E51:E57"/>
    <mergeCell ref="F51:F57"/>
    <mergeCell ref="G51:G57"/>
    <mergeCell ref="H51:H57"/>
    <mergeCell ref="AE100:AE102"/>
    <mergeCell ref="AE107:AE109"/>
    <mergeCell ref="J100:J106"/>
    <mergeCell ref="AE86:AE88"/>
    <mergeCell ref="AE93:AE95"/>
    <mergeCell ref="AE44:AE46"/>
    <mergeCell ref="AE51:AE53"/>
    <mergeCell ref="J121:J127"/>
    <mergeCell ref="K121:K127"/>
    <mergeCell ref="L121:L127"/>
    <mergeCell ref="M121:M127"/>
    <mergeCell ref="AD10:AD12"/>
    <mergeCell ref="AD14:AD15"/>
    <mergeCell ref="B14:B15"/>
    <mergeCell ref="C14:C15"/>
    <mergeCell ref="J14:J15"/>
    <mergeCell ref="K14:K15"/>
    <mergeCell ref="L14:L15"/>
    <mergeCell ref="AC14:AC15"/>
    <mergeCell ref="AE14:AE15"/>
    <mergeCell ref="D14:D15"/>
    <mergeCell ref="E14:E15"/>
    <mergeCell ref="M14:M15"/>
    <mergeCell ref="N14:N15"/>
    <mergeCell ref="O14:O15"/>
    <mergeCell ref="Z14:Z15"/>
    <mergeCell ref="AA14:AA15"/>
    <mergeCell ref="AB14:AB15"/>
    <mergeCell ref="C11:N11"/>
    <mergeCell ref="C12:N12"/>
    <mergeCell ref="O13:W13"/>
    <mergeCell ref="X13:AE13"/>
    <mergeCell ref="N121:N127"/>
    <mergeCell ref="J93:J99"/>
    <mergeCell ref="K93:K99"/>
    <mergeCell ref="L93:L99"/>
    <mergeCell ref="M93:M99"/>
    <mergeCell ref="N93:N99"/>
    <mergeCell ref="K100:K106"/>
    <mergeCell ref="L100:L106"/>
    <mergeCell ref="M100:M106"/>
    <mergeCell ref="N100:N106"/>
    <mergeCell ref="J107:J113"/>
    <mergeCell ref="K107:K113"/>
    <mergeCell ref="L107:L113"/>
    <mergeCell ref="M107:M113"/>
    <mergeCell ref="N107:N113"/>
    <mergeCell ref="B121:B127"/>
    <mergeCell ref="C121:C127"/>
    <mergeCell ref="AE114:AE116"/>
    <mergeCell ref="J114:J120"/>
    <mergeCell ref="K114:K120"/>
    <mergeCell ref="L114:L120"/>
    <mergeCell ref="M114:M120"/>
    <mergeCell ref="N114:N120"/>
    <mergeCell ref="J16:J22"/>
    <mergeCell ref="K16:K22"/>
    <mergeCell ref="L16:L22"/>
    <mergeCell ref="M16:M22"/>
    <mergeCell ref="N16:N22"/>
    <mergeCell ref="N23:N29"/>
    <mergeCell ref="J30:J36"/>
    <mergeCell ref="K30:K36"/>
    <mergeCell ref="L30:L36"/>
    <mergeCell ref="M30:M36"/>
    <mergeCell ref="N30:N36"/>
    <mergeCell ref="J37:J43"/>
    <mergeCell ref="K37:K43"/>
    <mergeCell ref="L37:L43"/>
    <mergeCell ref="M37:M43"/>
    <mergeCell ref="N37:N43"/>
    <mergeCell ref="A16:A22"/>
    <mergeCell ref="B16:B22"/>
    <mergeCell ref="C16:C22"/>
    <mergeCell ref="D16:D22"/>
    <mergeCell ref="E16:E22"/>
    <mergeCell ref="F16:F22"/>
    <mergeCell ref="G16:G22"/>
    <mergeCell ref="H16:H22"/>
    <mergeCell ref="I16:I22"/>
    <mergeCell ref="J23:J29"/>
    <mergeCell ref="K23:K29"/>
    <mergeCell ref="L23:L29"/>
    <mergeCell ref="M23:M29"/>
    <mergeCell ref="L44:L50"/>
    <mergeCell ref="M44:M50"/>
    <mergeCell ref="N44:N50"/>
    <mergeCell ref="J51:J57"/>
    <mergeCell ref="K51:K57"/>
    <mergeCell ref="L51:L57"/>
    <mergeCell ref="M51:M57"/>
    <mergeCell ref="N51:N57"/>
    <mergeCell ref="J58:J64"/>
    <mergeCell ref="K58:K64"/>
    <mergeCell ref="L58:L64"/>
    <mergeCell ref="M58:M64"/>
    <mergeCell ref="N58:N64"/>
    <mergeCell ref="J65:J71"/>
    <mergeCell ref="K65:K71"/>
    <mergeCell ref="L65:L71"/>
    <mergeCell ref="M65:M71"/>
    <mergeCell ref="N65:N71"/>
    <mergeCell ref="J72:J78"/>
    <mergeCell ref="K72:K78"/>
    <mergeCell ref="L72:L78"/>
    <mergeCell ref="M72:M78"/>
    <mergeCell ref="N72:N78"/>
    <mergeCell ref="K86:K92"/>
    <mergeCell ref="L86:L92"/>
    <mergeCell ref="M86:M92"/>
    <mergeCell ref="N86:N92"/>
    <mergeCell ref="J86:J92"/>
    <mergeCell ref="J79:J85"/>
    <mergeCell ref="K79:K85"/>
    <mergeCell ref="L79:L85"/>
    <mergeCell ref="M79:M85"/>
    <mergeCell ref="N79:N85"/>
    <mergeCell ref="B23:B29"/>
    <mergeCell ref="C23:C29"/>
    <mergeCell ref="D23:D29"/>
    <mergeCell ref="E23:E29"/>
    <mergeCell ref="F23:F29"/>
    <mergeCell ref="G23:G29"/>
    <mergeCell ref="H23:H29"/>
    <mergeCell ref="I23:I29"/>
    <mergeCell ref="B30:B36"/>
    <mergeCell ref="C30:C36"/>
    <mergeCell ref="D30:D36"/>
    <mergeCell ref="E30:E36"/>
    <mergeCell ref="F30:F36"/>
    <mergeCell ref="G30:G36"/>
    <mergeCell ref="H30:H36"/>
    <mergeCell ref="I30:I36"/>
    <mergeCell ref="D37:D43"/>
    <mergeCell ref="E37:E43"/>
    <mergeCell ref="F37:F43"/>
    <mergeCell ref="G37:G43"/>
    <mergeCell ref="H37:H43"/>
    <mergeCell ref="I37:I43"/>
    <mergeCell ref="B44:B50"/>
    <mergeCell ref="C44:C50"/>
    <mergeCell ref="D44:D50"/>
    <mergeCell ref="E44:E50"/>
    <mergeCell ref="F44:F50"/>
    <mergeCell ref="G44:G50"/>
    <mergeCell ref="H44:H50"/>
    <mergeCell ref="I44:I50"/>
    <mergeCell ref="B37:B43"/>
    <mergeCell ref="C37:C43"/>
    <mergeCell ref="I51:I57"/>
    <mergeCell ref="B58:B64"/>
    <mergeCell ref="C58:C64"/>
    <mergeCell ref="D58:D64"/>
    <mergeCell ref="E58:E64"/>
    <mergeCell ref="F58:F64"/>
    <mergeCell ref="G58:G64"/>
    <mergeCell ref="H58:H64"/>
    <mergeCell ref="I58:I64"/>
    <mergeCell ref="B65:B71"/>
    <mergeCell ref="C65:C71"/>
    <mergeCell ref="D65:D71"/>
    <mergeCell ref="E65:E71"/>
    <mergeCell ref="F65:F71"/>
    <mergeCell ref="G65:G71"/>
    <mergeCell ref="H65:H71"/>
    <mergeCell ref="I65:I71"/>
    <mergeCell ref="B72:B78"/>
    <mergeCell ref="C72:C78"/>
    <mergeCell ref="D72:D78"/>
    <mergeCell ref="E72:E78"/>
    <mergeCell ref="F72:F78"/>
    <mergeCell ref="G72:G78"/>
    <mergeCell ref="H72:H78"/>
    <mergeCell ref="I72:I78"/>
    <mergeCell ref="B79:B85"/>
    <mergeCell ref="C79:C85"/>
    <mergeCell ref="D79:D85"/>
    <mergeCell ref="E79:E85"/>
    <mergeCell ref="F79:F85"/>
    <mergeCell ref="G79:G85"/>
    <mergeCell ref="H79:H85"/>
    <mergeCell ref="I79:I85"/>
    <mergeCell ref="B86:B92"/>
    <mergeCell ref="C86:C92"/>
    <mergeCell ref="D86:D92"/>
    <mergeCell ref="E86:E92"/>
    <mergeCell ref="F86:F92"/>
    <mergeCell ref="G86:G92"/>
    <mergeCell ref="H86:H92"/>
    <mergeCell ref="I86:I92"/>
    <mergeCell ref="B93:B99"/>
    <mergeCell ref="C93:C99"/>
    <mergeCell ref="D93:D99"/>
    <mergeCell ref="E93:E99"/>
    <mergeCell ref="F93:F99"/>
    <mergeCell ref="G93:G99"/>
    <mergeCell ref="H93:H99"/>
    <mergeCell ref="I93:I99"/>
    <mergeCell ref="B100:B106"/>
    <mergeCell ref="C100:C106"/>
    <mergeCell ref="D100:D106"/>
    <mergeCell ref="E100:E106"/>
    <mergeCell ref="F100:F106"/>
    <mergeCell ref="G100:G106"/>
    <mergeCell ref="H100:H106"/>
    <mergeCell ref="I100:I106"/>
    <mergeCell ref="E107:E113"/>
    <mergeCell ref="F107:F113"/>
    <mergeCell ref="G107:G113"/>
    <mergeCell ref="H107:H113"/>
    <mergeCell ref="I107:I113"/>
    <mergeCell ref="B114:B120"/>
    <mergeCell ref="C114:C120"/>
    <mergeCell ref="D114:D120"/>
    <mergeCell ref="E114:E120"/>
    <mergeCell ref="F114:F120"/>
    <mergeCell ref="G114:G120"/>
    <mergeCell ref="H114:H120"/>
    <mergeCell ref="I114:I120"/>
    <mergeCell ref="D121:D127"/>
    <mergeCell ref="E121:E127"/>
    <mergeCell ref="F121:F127"/>
    <mergeCell ref="G121:G127"/>
    <mergeCell ref="H121:H127"/>
    <mergeCell ref="I121:I127"/>
    <mergeCell ref="A23:A29"/>
    <mergeCell ref="A30:A36"/>
    <mergeCell ref="A37:A43"/>
    <mergeCell ref="A44:A50"/>
    <mergeCell ref="A51:A57"/>
    <mergeCell ref="A58:A64"/>
    <mergeCell ref="A65:A71"/>
    <mergeCell ref="A72:A78"/>
    <mergeCell ref="A79:A85"/>
    <mergeCell ref="A86:A92"/>
    <mergeCell ref="A93:A99"/>
    <mergeCell ref="A100:A106"/>
    <mergeCell ref="A107:A113"/>
    <mergeCell ref="A114:A120"/>
    <mergeCell ref="A121:A127"/>
    <mergeCell ref="B107:B113"/>
    <mergeCell ref="C107:C113"/>
    <mergeCell ref="D107:D113"/>
    <mergeCell ref="AE26:AE28"/>
    <mergeCell ref="AD86:AD92"/>
    <mergeCell ref="AD93:AD99"/>
    <mergeCell ref="AD100:AD106"/>
    <mergeCell ref="AD107:AD113"/>
    <mergeCell ref="AD114:AD120"/>
    <mergeCell ref="AD121:AD127"/>
    <mergeCell ref="AD23:AD29"/>
    <mergeCell ref="AD30:AD36"/>
    <mergeCell ref="AD37:AD43"/>
    <mergeCell ref="AD44:AD50"/>
    <mergeCell ref="AD51:AD57"/>
    <mergeCell ref="AD58:AD64"/>
    <mergeCell ref="AD65:AD71"/>
    <mergeCell ref="AD72:AD78"/>
    <mergeCell ref="AD79:AD85"/>
    <mergeCell ref="AE79:AE81"/>
    <mergeCell ref="AE121:AE123"/>
    <mergeCell ref="AE23:AE25"/>
    <mergeCell ref="AE30:AE32"/>
    <mergeCell ref="AE37:AE39"/>
  </mergeCells>
  <conditionalFormatting sqref="H16 H23 H30 H37 H44 H51 H58 H65 H72 H79 H86 H93 H100 H107 H114 H121">
    <cfRule type="cellIs" dxfId="32" priority="470" operator="equal">
      <formula>"Muy Alta"</formula>
    </cfRule>
    <cfRule type="cellIs" dxfId="31" priority="471" operator="equal">
      <formula>"Alta"</formula>
    </cfRule>
    <cfRule type="cellIs" dxfId="30" priority="472" operator="equal">
      <formula>"Media"</formula>
    </cfRule>
    <cfRule type="cellIs" dxfId="29" priority="473" operator="equal">
      <formula>"Baja"</formula>
    </cfRule>
    <cfRule type="cellIs" dxfId="28" priority="474" operator="equal">
      <formula>"Muy Baja"</formula>
    </cfRule>
  </conditionalFormatting>
  <conditionalFormatting sqref="K16 K23 K30 K37 K44 K51 K58 K65 K72 K79 K86 K93 K100 K107 K114 K121">
    <cfRule type="containsText" dxfId="27" priority="475" operator="containsText" text="❌">
      <formula>NOT(ISERROR(SEARCH(("❌"),(K16))))</formula>
    </cfRule>
  </conditionalFormatting>
  <conditionalFormatting sqref="L16 L23 L30 L37 L44 L51 L58 L65 L72 L79 L86 L93 L100 L107 L114 L121">
    <cfRule type="cellIs" dxfId="26" priority="440" operator="equal">
      <formula>"Catastrófico"</formula>
    </cfRule>
    <cfRule type="cellIs" dxfId="25" priority="441" operator="equal">
      <formula>"Mayor"</formula>
    </cfRule>
    <cfRule type="cellIs" dxfId="24" priority="442" operator="equal">
      <formula>"Moderado"</formula>
    </cfRule>
    <cfRule type="cellIs" dxfId="23" priority="443" operator="equal">
      <formula>"Menor"</formula>
    </cfRule>
    <cfRule type="cellIs" dxfId="22" priority="444" operator="equal">
      <formula>"Leve"</formula>
    </cfRule>
  </conditionalFormatting>
  <conditionalFormatting sqref="N16 N23 N30 N37 N44 N51 N58 N65 N72 N79 N86 N93 N100 N107 N114 N121">
    <cfRule type="cellIs" dxfId="21" priority="413" operator="equal">
      <formula>"Moderado"</formula>
    </cfRule>
    <cfRule type="cellIs" dxfId="20" priority="411" operator="equal">
      <formula>"Extremo"</formula>
    </cfRule>
    <cfRule type="cellIs" dxfId="19" priority="412" operator="equal">
      <formula>"Alto"</formula>
    </cfRule>
    <cfRule type="cellIs" dxfId="18" priority="414" operator="equal">
      <formula>"Bajo"</formula>
    </cfRule>
  </conditionalFormatting>
  <conditionalFormatting sqref="Y16:Y127">
    <cfRule type="cellIs" dxfId="17" priority="385" operator="equal">
      <formula>"Muy Baja"</formula>
    </cfRule>
    <cfRule type="cellIs" dxfId="16" priority="381" operator="equal">
      <formula>"Muy Alta"</formula>
    </cfRule>
    <cfRule type="cellIs" dxfId="15" priority="382" operator="equal">
      <formula>"Alta"</formula>
    </cfRule>
    <cfRule type="cellIs" dxfId="14" priority="383" operator="equal">
      <formula>"Media"</formula>
    </cfRule>
    <cfRule type="cellIs" dxfId="13" priority="384" operator="equal">
      <formula>"Baja"</formula>
    </cfRule>
  </conditionalFormatting>
  <conditionalFormatting sqref="AA16:AA127">
    <cfRule type="cellIs" dxfId="12" priority="371" operator="equal">
      <formula>"Catastrófico"</formula>
    </cfRule>
    <cfRule type="cellIs" dxfId="11" priority="372" operator="equal">
      <formula>"Mayor"</formula>
    </cfRule>
    <cfRule type="cellIs" dxfId="10" priority="373" operator="equal">
      <formula>"Moderado"</formula>
    </cfRule>
    <cfRule type="cellIs" dxfId="9" priority="374" operator="equal">
      <formula>"Menor"</formula>
    </cfRule>
    <cfRule type="cellIs" dxfId="8" priority="375" operator="equal">
      <formula>"Leve"</formula>
    </cfRule>
  </conditionalFormatting>
  <conditionalFormatting sqref="AC16:AC127">
    <cfRule type="cellIs" dxfId="7" priority="364" operator="equal">
      <formula>"Alto"</formula>
    </cfRule>
    <cfRule type="cellIs" dxfId="6" priority="365" operator="equal">
      <formula>"Moderado"</formula>
    </cfRule>
    <cfRule type="cellIs" dxfId="5" priority="366" operator="equal">
      <formula>"Bajo"</formula>
    </cfRule>
    <cfRule type="cellIs" dxfId="4" priority="363" operator="equal">
      <formula>"Extremo"</formula>
    </cfRule>
  </conditionalFormatting>
  <conditionalFormatting sqref="AD10:AD11 AD13:AD14 AD16 AD23 AD30 AD37 AD44 AD51 AD58 AD65 AD72 AD79 AD86 AD93 AD100 AD107 AD114 AD121">
    <cfRule type="cellIs" dxfId="3" priority="703" operator="equal">
      <formula>"Extremo"</formula>
    </cfRule>
    <cfRule type="cellIs" dxfId="2" priority="704" operator="equal">
      <formula>"Alto"</formula>
    </cfRule>
    <cfRule type="cellIs" dxfId="1" priority="705" operator="equal">
      <formula>"Moderado"</formula>
    </cfRule>
    <cfRule type="cellIs" dxfId="0" priority="706"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3A230BE5-98CD-449B-B443-66E30C3A37AB}"/>
    <dataValidation allowBlank="1" showInputMessage="1" showErrorMessage="1" promptTitle="OBJETIVO DEL PROCESO/SUBPROCESO" prompt="Debe colocar el objetivo del proceso/subproceso de acuerdo a la caracterización del proceso" sqref="C11:N11" xr:uid="{AA5EAAD1-B392-4427-A738-C1B025979AEF}"/>
    <dataValidation allowBlank="1" showInputMessage="1" showErrorMessage="1" promptTitle="ALCANCE DEL PROCESO/SUBPROCESO" prompt="Debe colocar el alcance del proceso/subproceso, de acuerdo a la caracterización del mismo Incluyendo LIMITE y APLICABILIDAD" sqref="C12:N12" xr:uid="{7F6F40CA-0BAF-47C0-A29C-A6EED92B486D}"/>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127" xr:uid="{CA6D7211-932B-4073-8F45-FD3AFADCE769}"/>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B16 B23 B30 B37 B44 B51 B58 B65 B72 B79 B86 B93 B100 B107 B114 B121</xm:sqref>
        </x14:dataValidation>
        <x14:dataValidation type="list" allowBlank="1" showErrorMessage="1" xr:uid="{00000000-0002-0000-0000-000005000000}">
          <x14:formula1>
            <xm:f>'Tabla Impacto'!$F$210:$F$221</xm:f>
          </x14:formula1>
          <xm:sqref>J16 J23 J30 J37 J44 J51 J58 J65 J72 J79 J86 J93 J100 J107 J114 J121</xm:sqref>
        </x14:dataValidation>
        <x14:dataValidation type="list" allowBlank="1" showErrorMessage="1" xr:uid="{00000000-0002-0000-0000-000009000000}">
          <x14:formula1>
            <xm:f>'Opciones Tratamiento'!$B$9:$B$10</xm:f>
          </x14:formula1>
          <xm:sqref>AK16:AK127</xm:sqref>
        </x14:dataValidation>
        <x14:dataValidation type="list" allowBlank="1" showErrorMessage="1" xr:uid="{00000000-0002-0000-0000-00000A000000}">
          <x14:formula1>
            <xm:f>'Opciones Tratamiento'!$B$13:$B$19</xm:f>
          </x14:formula1>
          <xm:sqref>F16 F23 F30 F37 F44 F51 F58 F65 F72 F79 F86 F93 F100 F107 F114 F121</xm:sqref>
        </x14:dataValidation>
        <x14:dataValidation type="list" allowBlank="1" showErrorMessage="1" xr:uid="{00000000-0002-0000-0000-00000B000000}">
          <x14:formula1>
            <xm:f>'Tabla Valoración controles'!$D$9:$D$10</xm:f>
          </x14:formula1>
          <xm:sqref>U16:U127</xm:sqref>
        </x14:dataValidation>
        <x14:dataValidation type="list" allowBlank="1" showErrorMessage="1" xr:uid="{00000000-0002-0000-0000-00000C000000}">
          <x14:formula1>
            <xm:f>'Tabla Valoración controles'!$D$11:$D$12</xm:f>
          </x14:formula1>
          <xm:sqref>V16:V127</xm:sqref>
        </x14:dataValidation>
        <x14:dataValidation type="list" allowBlank="1" showErrorMessage="1" xr:uid="{00000000-0002-0000-0000-00000D000000}">
          <x14:formula1>
            <xm:f>'Tabla Valoración controles'!$D$13:$D$14</xm:f>
          </x14:formula1>
          <xm:sqref>W16:W127</xm:sqref>
        </x14:dataValidation>
        <x14:dataValidation type="list" allowBlank="1" showErrorMessage="1" xr:uid="{00000000-0002-0000-0000-00000E000000}">
          <x14:formula1>
            <xm:f>'Tabla Valoración controles'!$D$7:$D$8</xm:f>
          </x14:formula1>
          <xm:sqref>S16:S127</xm:sqref>
        </x14:dataValidation>
        <x14:dataValidation type="list" allowBlank="1" showErrorMessage="1" xr:uid="{00000000-0002-0000-0000-00000F000000}">
          <x14:formula1>
            <xm:f>'Tabla Valoración controles'!$D$4:$D$6</xm:f>
          </x14:formula1>
          <xm:sqref>R16:R127</xm:sqref>
        </x14:dataValidation>
        <x14:dataValidation type="list" allowBlank="1" showErrorMessage="1" xr:uid="{00000000-0002-0000-0000-000010000000}">
          <x14:formula1>
            <xm:f>'Opciones Tratamiento'!$B$2:$B$5</xm:f>
          </x14:formula1>
          <xm:sqref>AE16 AE19:AE23 AE26:AE30 AE33:AE37 AE40:AE44 AE47:AE51 AE54:AE58 AE61:AE65 AE68:AE72 AE75:AE79 AE82:AE86 AE89:AE93 AE96:AE100 AE103:AE107 AE110:AE114 AE117:AE121 AE124:AE127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214" t="s">
        <v>0</v>
      </c>
      <c r="C2" s="215"/>
      <c r="D2" s="215"/>
      <c r="E2" s="215"/>
      <c r="F2" s="215"/>
      <c r="G2" s="215"/>
      <c r="H2" s="216"/>
    </row>
    <row r="3" spans="2:8" ht="14.25" x14ac:dyDescent="0.2">
      <c r="B3" s="2"/>
      <c r="C3" s="3"/>
      <c r="D3" s="3"/>
      <c r="E3" s="3"/>
      <c r="F3" s="3"/>
      <c r="G3" s="3"/>
      <c r="H3" s="4"/>
    </row>
    <row r="4" spans="2:8" ht="63" customHeight="1" x14ac:dyDescent="0.2">
      <c r="B4" s="217" t="s">
        <v>1</v>
      </c>
      <c r="C4" s="218"/>
      <c r="D4" s="218"/>
      <c r="E4" s="218"/>
      <c r="F4" s="218"/>
      <c r="G4" s="218"/>
      <c r="H4" s="219"/>
    </row>
    <row r="5" spans="2:8" ht="63" customHeight="1" x14ac:dyDescent="0.2">
      <c r="B5" s="220"/>
      <c r="C5" s="221"/>
      <c r="D5" s="221"/>
      <c r="E5" s="221"/>
      <c r="F5" s="221"/>
      <c r="G5" s="221"/>
      <c r="H5" s="222"/>
    </row>
    <row r="6" spans="2:8" ht="14.25" x14ac:dyDescent="0.2">
      <c r="B6" s="223" t="s">
        <v>2</v>
      </c>
      <c r="C6" s="224"/>
      <c r="D6" s="224"/>
      <c r="E6" s="224"/>
      <c r="F6" s="224"/>
      <c r="G6" s="224"/>
      <c r="H6" s="225"/>
    </row>
    <row r="7" spans="2:8" ht="95.25" customHeight="1" x14ac:dyDescent="0.2">
      <c r="B7" s="226" t="s">
        <v>3</v>
      </c>
      <c r="C7" s="227"/>
      <c r="D7" s="227"/>
      <c r="E7" s="227"/>
      <c r="F7" s="227"/>
      <c r="G7" s="227"/>
      <c r="H7" s="228"/>
    </row>
    <row r="8" spans="2:8" ht="16.5" x14ac:dyDescent="0.2">
      <c r="B8" s="5"/>
      <c r="C8" s="6"/>
      <c r="D8" s="6"/>
      <c r="E8" s="6"/>
      <c r="F8" s="6"/>
      <c r="G8" s="6"/>
      <c r="H8" s="7"/>
    </row>
    <row r="9" spans="2:8" ht="16.5" customHeight="1" x14ac:dyDescent="0.2">
      <c r="B9" s="229" t="s">
        <v>4</v>
      </c>
      <c r="C9" s="218"/>
      <c r="D9" s="218"/>
      <c r="E9" s="218"/>
      <c r="F9" s="218"/>
      <c r="G9" s="218"/>
      <c r="H9" s="219"/>
    </row>
    <row r="10" spans="2:8" ht="44.25" customHeight="1" x14ac:dyDescent="0.2">
      <c r="B10" s="230"/>
      <c r="C10" s="218"/>
      <c r="D10" s="218"/>
      <c r="E10" s="218"/>
      <c r="F10" s="218"/>
      <c r="G10" s="218"/>
      <c r="H10" s="219"/>
    </row>
    <row r="11" spans="2:8" ht="14.25" x14ac:dyDescent="0.2">
      <c r="B11" s="8"/>
      <c r="C11" s="9"/>
      <c r="D11" s="10"/>
      <c r="E11" s="11"/>
      <c r="F11" s="11"/>
      <c r="G11" s="11"/>
      <c r="H11" s="12"/>
    </row>
    <row r="12" spans="2:8" ht="14.25" x14ac:dyDescent="0.2">
      <c r="B12" s="8"/>
      <c r="C12" s="210" t="s">
        <v>5</v>
      </c>
      <c r="D12" s="211"/>
      <c r="E12" s="212" t="s">
        <v>6</v>
      </c>
      <c r="F12" s="213"/>
      <c r="G12" s="9"/>
      <c r="H12" s="12"/>
    </row>
    <row r="13" spans="2:8" ht="35.25" customHeight="1" x14ac:dyDescent="0.2">
      <c r="B13" s="8"/>
      <c r="C13" s="206" t="s">
        <v>7</v>
      </c>
      <c r="D13" s="207"/>
      <c r="E13" s="208" t="s">
        <v>8</v>
      </c>
      <c r="F13" s="209"/>
      <c r="G13" s="9"/>
      <c r="H13" s="12"/>
    </row>
    <row r="14" spans="2:8" ht="17.25" customHeight="1" x14ac:dyDescent="0.2">
      <c r="B14" s="8"/>
      <c r="C14" s="206" t="s">
        <v>9</v>
      </c>
      <c r="D14" s="207"/>
      <c r="E14" s="208" t="s">
        <v>10</v>
      </c>
      <c r="F14" s="209"/>
      <c r="G14" s="9"/>
      <c r="H14" s="12"/>
    </row>
    <row r="15" spans="2:8" ht="19.5" customHeight="1" x14ac:dyDescent="0.2">
      <c r="B15" s="8"/>
      <c r="C15" s="206" t="s">
        <v>11</v>
      </c>
      <c r="D15" s="207"/>
      <c r="E15" s="208" t="s">
        <v>12</v>
      </c>
      <c r="F15" s="209"/>
      <c r="G15" s="9"/>
      <c r="H15" s="12"/>
    </row>
    <row r="16" spans="2:8" ht="69.75" customHeight="1" x14ac:dyDescent="0.2">
      <c r="B16" s="8"/>
      <c r="C16" s="206" t="s">
        <v>13</v>
      </c>
      <c r="D16" s="207"/>
      <c r="E16" s="208" t="s">
        <v>14</v>
      </c>
      <c r="F16" s="209"/>
      <c r="G16" s="9"/>
      <c r="H16" s="12"/>
    </row>
    <row r="17" spans="3:6" ht="34.5" customHeight="1" x14ac:dyDescent="0.2">
      <c r="C17" s="202" t="s">
        <v>15</v>
      </c>
      <c r="D17" s="203"/>
      <c r="E17" s="198" t="s">
        <v>16</v>
      </c>
      <c r="F17" s="199"/>
    </row>
    <row r="18" spans="3:6" ht="27.75" customHeight="1" x14ac:dyDescent="0.2">
      <c r="C18" s="202" t="s">
        <v>17</v>
      </c>
      <c r="D18" s="203"/>
      <c r="E18" s="198" t="s">
        <v>18</v>
      </c>
      <c r="F18" s="199"/>
    </row>
    <row r="19" spans="3:6" ht="28.5" customHeight="1" x14ac:dyDescent="0.2">
      <c r="C19" s="202" t="s">
        <v>19</v>
      </c>
      <c r="D19" s="203"/>
      <c r="E19" s="198" t="s">
        <v>20</v>
      </c>
      <c r="F19" s="199"/>
    </row>
    <row r="20" spans="3:6" ht="72.75" customHeight="1" x14ac:dyDescent="0.2">
      <c r="C20" s="202" t="s">
        <v>21</v>
      </c>
      <c r="D20" s="203"/>
      <c r="E20" s="198" t="s">
        <v>22</v>
      </c>
      <c r="F20" s="199"/>
    </row>
    <row r="21" spans="3:6" ht="64.5" customHeight="1" x14ac:dyDescent="0.2">
      <c r="C21" s="202" t="s">
        <v>23</v>
      </c>
      <c r="D21" s="203"/>
      <c r="E21" s="198" t="s">
        <v>24</v>
      </c>
      <c r="F21" s="199"/>
    </row>
    <row r="22" spans="3:6" ht="71.25" customHeight="1" x14ac:dyDescent="0.2">
      <c r="C22" s="202" t="s">
        <v>25</v>
      </c>
      <c r="D22" s="203"/>
      <c r="E22" s="198" t="s">
        <v>26</v>
      </c>
      <c r="F22" s="199"/>
    </row>
    <row r="23" spans="3:6" ht="55.5" customHeight="1" x14ac:dyDescent="0.2">
      <c r="C23" s="202" t="s">
        <v>27</v>
      </c>
      <c r="D23" s="203"/>
      <c r="E23" s="198" t="s">
        <v>28</v>
      </c>
      <c r="F23" s="199"/>
    </row>
    <row r="24" spans="3:6" ht="42" customHeight="1" x14ac:dyDescent="0.2">
      <c r="C24" s="202" t="s">
        <v>29</v>
      </c>
      <c r="D24" s="203"/>
      <c r="E24" s="198" t="s">
        <v>30</v>
      </c>
      <c r="F24" s="199"/>
    </row>
    <row r="25" spans="3:6" ht="59.25" customHeight="1" x14ac:dyDescent="0.2">
      <c r="C25" s="202" t="s">
        <v>31</v>
      </c>
      <c r="D25" s="203"/>
      <c r="E25" s="198" t="s">
        <v>32</v>
      </c>
      <c r="F25" s="199"/>
    </row>
    <row r="26" spans="3:6" ht="23.25" customHeight="1" x14ac:dyDescent="0.2">
      <c r="C26" s="202" t="s">
        <v>33</v>
      </c>
      <c r="D26" s="203"/>
      <c r="E26" s="198" t="s">
        <v>34</v>
      </c>
      <c r="F26" s="199"/>
    </row>
    <row r="27" spans="3:6" ht="30.75" customHeight="1" x14ac:dyDescent="0.2">
      <c r="C27" s="202" t="s">
        <v>35</v>
      </c>
      <c r="D27" s="203"/>
      <c r="E27" s="198" t="s">
        <v>36</v>
      </c>
      <c r="F27" s="199"/>
    </row>
    <row r="28" spans="3:6" ht="35.25" customHeight="1" x14ac:dyDescent="0.2">
      <c r="C28" s="202" t="s">
        <v>37</v>
      </c>
      <c r="D28" s="203"/>
      <c r="E28" s="198" t="s">
        <v>38</v>
      </c>
      <c r="F28" s="199"/>
    </row>
    <row r="29" spans="3:6" ht="33" customHeight="1" x14ac:dyDescent="0.2">
      <c r="C29" s="202" t="s">
        <v>39</v>
      </c>
      <c r="D29" s="203"/>
      <c r="E29" s="198" t="s">
        <v>38</v>
      </c>
      <c r="F29" s="199"/>
    </row>
    <row r="30" spans="3:6" ht="30" customHeight="1" x14ac:dyDescent="0.2">
      <c r="C30" s="202" t="s">
        <v>40</v>
      </c>
      <c r="D30" s="203"/>
      <c r="E30" s="198" t="s">
        <v>41</v>
      </c>
      <c r="F30" s="199"/>
    </row>
    <row r="31" spans="3:6" ht="35.25" customHeight="1" x14ac:dyDescent="0.2">
      <c r="C31" s="202" t="s">
        <v>42</v>
      </c>
      <c r="D31" s="203"/>
      <c r="E31" s="198" t="s">
        <v>43</v>
      </c>
      <c r="F31" s="199"/>
    </row>
    <row r="32" spans="3:6" ht="31.5" customHeight="1" x14ac:dyDescent="0.2">
      <c r="C32" s="202" t="s">
        <v>44</v>
      </c>
      <c r="D32" s="203"/>
      <c r="E32" s="198" t="s">
        <v>45</v>
      </c>
      <c r="F32" s="199"/>
    </row>
    <row r="33" spans="2:8" ht="35.25" customHeight="1" x14ac:dyDescent="0.2">
      <c r="B33" s="8"/>
      <c r="C33" s="202" t="s">
        <v>46</v>
      </c>
      <c r="D33" s="203"/>
      <c r="E33" s="198" t="s">
        <v>47</v>
      </c>
      <c r="F33" s="199"/>
      <c r="G33" s="9"/>
      <c r="H33" s="12"/>
    </row>
    <row r="34" spans="2:8" ht="59.25" customHeight="1" x14ac:dyDescent="0.2">
      <c r="B34" s="8"/>
      <c r="C34" s="202" t="s">
        <v>48</v>
      </c>
      <c r="D34" s="203"/>
      <c r="E34" s="198" t="s">
        <v>49</v>
      </c>
      <c r="F34" s="199"/>
      <c r="G34" s="9"/>
      <c r="H34" s="12"/>
    </row>
    <row r="35" spans="2:8" ht="29.25" customHeight="1" x14ac:dyDescent="0.2">
      <c r="B35" s="8"/>
      <c r="C35" s="202" t="s">
        <v>50</v>
      </c>
      <c r="D35" s="203"/>
      <c r="E35" s="198" t="s">
        <v>51</v>
      </c>
      <c r="F35" s="199"/>
      <c r="G35" s="9"/>
      <c r="H35" s="12"/>
    </row>
    <row r="36" spans="2:8" ht="82.5" customHeight="1" x14ac:dyDescent="0.2">
      <c r="B36" s="8"/>
      <c r="C36" s="202" t="s">
        <v>52</v>
      </c>
      <c r="D36" s="203"/>
      <c r="E36" s="198" t="s">
        <v>53</v>
      </c>
      <c r="F36" s="199"/>
      <c r="G36" s="9"/>
      <c r="H36" s="12"/>
    </row>
    <row r="37" spans="2:8" ht="46.5" customHeight="1" x14ac:dyDescent="0.2">
      <c r="B37" s="8"/>
      <c r="C37" s="202" t="s">
        <v>54</v>
      </c>
      <c r="D37" s="203"/>
      <c r="E37" s="198" t="s">
        <v>55</v>
      </c>
      <c r="F37" s="199"/>
      <c r="G37" s="9"/>
      <c r="H37" s="12"/>
    </row>
    <row r="38" spans="2:8" ht="6.75" customHeight="1" x14ac:dyDescent="0.2">
      <c r="B38" s="8"/>
      <c r="C38" s="204"/>
      <c r="D38" s="205"/>
      <c r="E38" s="200"/>
      <c r="F38" s="201"/>
      <c r="G38" s="9"/>
      <c r="H38" s="12"/>
    </row>
    <row r="39" spans="2:8" ht="15.75" customHeight="1" x14ac:dyDescent="0.2">
      <c r="B39" s="8"/>
      <c r="C39" s="13"/>
      <c r="D39" s="13"/>
      <c r="E39" s="14"/>
      <c r="F39" s="14"/>
      <c r="G39" s="9"/>
      <c r="H39" s="12"/>
    </row>
    <row r="40" spans="2:8" ht="21" customHeight="1" x14ac:dyDescent="0.2">
      <c r="B40" s="195" t="s">
        <v>56</v>
      </c>
      <c r="C40" s="196"/>
      <c r="D40" s="196"/>
      <c r="E40" s="196"/>
      <c r="F40" s="196"/>
      <c r="G40" s="196"/>
      <c r="H40" s="197"/>
    </row>
    <row r="41" spans="2:8" ht="20.25" customHeight="1" x14ac:dyDescent="0.2">
      <c r="B41" s="195" t="s">
        <v>57</v>
      </c>
      <c r="C41" s="196"/>
      <c r="D41" s="196"/>
      <c r="E41" s="196"/>
      <c r="F41" s="196"/>
      <c r="G41" s="196"/>
      <c r="H41" s="197"/>
    </row>
    <row r="42" spans="2:8" ht="20.25" customHeight="1" x14ac:dyDescent="0.2">
      <c r="B42" s="195" t="s">
        <v>58</v>
      </c>
      <c r="C42" s="196"/>
      <c r="D42" s="196"/>
      <c r="E42" s="196"/>
      <c r="F42" s="196"/>
      <c r="G42" s="196"/>
      <c r="H42" s="197"/>
    </row>
    <row r="43" spans="2:8" ht="20.25" customHeight="1" x14ac:dyDescent="0.2">
      <c r="B43" s="195" t="s">
        <v>59</v>
      </c>
      <c r="C43" s="196"/>
      <c r="D43" s="196"/>
      <c r="E43" s="196"/>
      <c r="F43" s="196"/>
      <c r="G43" s="196"/>
      <c r="H43" s="197"/>
    </row>
    <row r="44" spans="2:8" ht="15.75" customHeight="1" x14ac:dyDescent="0.2">
      <c r="B44" s="195" t="s">
        <v>60</v>
      </c>
      <c r="C44" s="196"/>
      <c r="D44" s="196"/>
      <c r="E44" s="196"/>
      <c r="F44" s="196"/>
      <c r="G44" s="196"/>
      <c r="H44" s="197"/>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60" t="s">
        <v>93</v>
      </c>
      <c r="C2" s="218"/>
      <c r="D2" s="218"/>
      <c r="E2" s="218"/>
      <c r="F2" s="218"/>
      <c r="G2" s="218"/>
      <c r="H2" s="218"/>
      <c r="I2" s="218"/>
      <c r="J2" s="261" t="s">
        <v>15</v>
      </c>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44"/>
      <c r="AN2" s="1"/>
      <c r="AO2" s="1"/>
      <c r="AP2" s="1"/>
      <c r="AQ2" s="1"/>
      <c r="AR2" s="1"/>
      <c r="AS2" s="1"/>
      <c r="AT2" s="1"/>
    </row>
    <row r="3" spans="2:46" ht="18.75" customHeight="1" x14ac:dyDescent="0.25">
      <c r="B3" s="218"/>
      <c r="C3" s="218"/>
      <c r="D3" s="218"/>
      <c r="E3" s="218"/>
      <c r="F3" s="218"/>
      <c r="G3" s="218"/>
      <c r="H3" s="218"/>
      <c r="I3" s="218"/>
      <c r="J3" s="263"/>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64"/>
      <c r="AN3" s="1"/>
      <c r="AO3" s="1"/>
      <c r="AP3" s="1"/>
      <c r="AQ3" s="1"/>
      <c r="AR3" s="1"/>
      <c r="AS3" s="1"/>
      <c r="AT3" s="1"/>
    </row>
    <row r="4" spans="2:46" ht="15" customHeight="1" x14ac:dyDescent="0.25">
      <c r="B4" s="218"/>
      <c r="C4" s="218"/>
      <c r="D4" s="218"/>
      <c r="E4" s="218"/>
      <c r="F4" s="218"/>
      <c r="G4" s="218"/>
      <c r="H4" s="218"/>
      <c r="I4" s="218"/>
      <c r="J4" s="233"/>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37"/>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66" t="s">
        <v>94</v>
      </c>
      <c r="C6" s="262"/>
      <c r="D6" s="232"/>
      <c r="E6" s="251" t="s">
        <v>95</v>
      </c>
      <c r="F6" s="252"/>
      <c r="G6" s="252"/>
      <c r="H6" s="252"/>
      <c r="I6" s="238"/>
      <c r="J6" s="239" t="str">
        <f>IF(AND('Mapa final'!$H$16="Muy Alta",'Mapa final'!$L$16="Leve"),CONCATENATE("R",'Mapa final'!$A$16),"")</f>
        <v/>
      </c>
      <c r="K6" s="236"/>
      <c r="L6" s="241" t="str">
        <f>IF(AND('Mapa final'!$H$23="Muy Alta",'Mapa final'!$L$23="Leve"),CONCATENATE("R",'Mapa final'!$A$23),"")</f>
        <v/>
      </c>
      <c r="M6" s="236"/>
      <c r="N6" s="241" t="str">
        <f>IF(AND('Mapa final'!$H$30="Muy Alta",'Mapa final'!$L$30="Leve"),CONCATENATE("R",'Mapa final'!$A$30),"")</f>
        <v/>
      </c>
      <c r="O6" s="238"/>
      <c r="P6" s="239" t="str">
        <f>IF(AND('Mapa final'!$H$16="Muy Alta",'Mapa final'!$L$16="Menor"),CONCATENATE("R",'Mapa final'!$A$16),"")</f>
        <v/>
      </c>
      <c r="Q6" s="236"/>
      <c r="R6" s="241" t="str">
        <f>IF(AND('Mapa final'!$H$23="Muy Alta",'Mapa final'!$L$23="Menor"),CONCATENATE("R",'Mapa final'!$A$23),"")</f>
        <v/>
      </c>
      <c r="S6" s="236"/>
      <c r="T6" s="241" t="str">
        <f>IF(AND('Mapa final'!$H$30="Muy Alta",'Mapa final'!$L$30="Menor"),CONCATENATE("R",'Mapa final'!$A$30),"")</f>
        <v/>
      </c>
      <c r="U6" s="238"/>
      <c r="V6" s="239" t="str">
        <f>IF(AND('Mapa final'!$H$16="Muy Alta",'Mapa final'!$L$16="Moderado"),CONCATENATE("R",'Mapa final'!$A$16),"")</f>
        <v/>
      </c>
      <c r="W6" s="236"/>
      <c r="X6" s="241" t="str">
        <f>IF(AND('Mapa final'!$H$23="Muy Alta",'Mapa final'!$L$23="Moderado"),CONCATENATE("R",'Mapa final'!$A$23),"")</f>
        <v/>
      </c>
      <c r="Y6" s="236"/>
      <c r="Z6" s="241" t="str">
        <f>IF(AND('Mapa final'!$H$30="Muy Alta",'Mapa final'!$L$30="Moderado"),CONCATENATE("R",'Mapa final'!$A$30),"")</f>
        <v/>
      </c>
      <c r="AA6" s="238"/>
      <c r="AB6" s="239" t="str">
        <f>IF(AND('Mapa final'!$H$16="Muy Alta",'Mapa final'!$L$16="Mayor"),CONCATENATE("R",'Mapa final'!$A$16),"")</f>
        <v/>
      </c>
      <c r="AC6" s="236"/>
      <c r="AD6" s="241" t="str">
        <f>IF(AND('Mapa final'!$H$23="Muy Alta",'Mapa final'!$L$23="Mayor"),CONCATENATE("R",'Mapa final'!$A$23),"")</f>
        <v/>
      </c>
      <c r="AE6" s="236"/>
      <c r="AF6" s="241" t="str">
        <f>IF(AND('Mapa final'!$H$30="Muy Alta",'Mapa final'!$L$30="Mayor"),CONCATENATE("R",'Mapa final'!$A$30),"")</f>
        <v/>
      </c>
      <c r="AG6" s="238"/>
      <c r="AH6" s="258" t="str">
        <f>IF(AND('Mapa final'!$H$16="Muy Alta",'Mapa final'!$L$16="Catastrófico"),CONCATENATE("R",'Mapa final'!$A$16),"")</f>
        <v/>
      </c>
      <c r="AI6" s="236"/>
      <c r="AJ6" s="242" t="str">
        <f>IF(AND('Mapa final'!$H$23="Muy Alta",'Mapa final'!$L$23="Catastrófico"),CONCATENATE("R",'Mapa final'!$A$23),"")</f>
        <v/>
      </c>
      <c r="AK6" s="236"/>
      <c r="AL6" s="242" t="str">
        <f>IF(AND('Mapa final'!$H$30="Muy Alta",'Mapa final'!$L$30="Catastrófico"),CONCATENATE("R",'Mapa final'!$A$30),"")</f>
        <v/>
      </c>
      <c r="AM6" s="238"/>
      <c r="AO6" s="269" t="s">
        <v>96</v>
      </c>
      <c r="AP6" s="270"/>
      <c r="AQ6" s="270"/>
      <c r="AR6" s="270"/>
      <c r="AS6" s="270"/>
      <c r="AT6" s="271"/>
    </row>
    <row r="7" spans="2:46" ht="15" customHeight="1" x14ac:dyDescent="0.25">
      <c r="B7" s="263"/>
      <c r="C7" s="218"/>
      <c r="D7" s="219"/>
      <c r="E7" s="230"/>
      <c r="F7" s="218"/>
      <c r="G7" s="218"/>
      <c r="H7" s="218"/>
      <c r="I7" s="219"/>
      <c r="J7" s="240"/>
      <c r="K7" s="237"/>
      <c r="L7" s="233"/>
      <c r="M7" s="237"/>
      <c r="N7" s="233"/>
      <c r="O7" s="234"/>
      <c r="P7" s="240"/>
      <c r="Q7" s="237"/>
      <c r="R7" s="233"/>
      <c r="S7" s="237"/>
      <c r="T7" s="233"/>
      <c r="U7" s="234"/>
      <c r="V7" s="240"/>
      <c r="W7" s="237"/>
      <c r="X7" s="233"/>
      <c r="Y7" s="237"/>
      <c r="Z7" s="233"/>
      <c r="AA7" s="234"/>
      <c r="AB7" s="240"/>
      <c r="AC7" s="237"/>
      <c r="AD7" s="233"/>
      <c r="AE7" s="237"/>
      <c r="AF7" s="233"/>
      <c r="AG7" s="234"/>
      <c r="AH7" s="240"/>
      <c r="AI7" s="237"/>
      <c r="AJ7" s="233"/>
      <c r="AK7" s="237"/>
      <c r="AL7" s="233"/>
      <c r="AM7" s="234"/>
      <c r="AN7" s="1"/>
      <c r="AO7" s="272"/>
      <c r="AP7" s="218"/>
      <c r="AQ7" s="218"/>
      <c r="AR7" s="218"/>
      <c r="AS7" s="218"/>
      <c r="AT7" s="273"/>
    </row>
    <row r="8" spans="2:46" ht="15" customHeight="1" x14ac:dyDescent="0.25">
      <c r="B8" s="263"/>
      <c r="C8" s="218"/>
      <c r="D8" s="219"/>
      <c r="E8" s="230"/>
      <c r="F8" s="218"/>
      <c r="G8" s="218"/>
      <c r="H8" s="218"/>
      <c r="I8" s="219"/>
      <c r="J8" s="246" t="str">
        <f>IF(AND('Mapa final'!$H$37="Muy Alta",'Mapa final'!$L$37="Leve"),CONCATENATE("R",'Mapa final'!$A$37),"")</f>
        <v/>
      </c>
      <c r="K8" s="244"/>
      <c r="L8" s="247" t="str">
        <f>IF(AND('Mapa final'!$H$44="Muy Alta",'Mapa final'!$L$44="Leve"),CONCATENATE("R",'Mapa final'!$A$44),"")</f>
        <v/>
      </c>
      <c r="M8" s="244"/>
      <c r="N8" s="247" t="str">
        <f>IF(AND('Mapa final'!$H$51="Muy Alta",'Mapa final'!$L$51="Leve"),CONCATENATE("R",'Mapa final'!$A$51),"")</f>
        <v/>
      </c>
      <c r="O8" s="232"/>
      <c r="P8" s="246" t="str">
        <f>IF(AND('Mapa final'!$H$37="Muy Alta",'Mapa final'!$L$37="Menor"),CONCATENATE("R",'Mapa final'!$A$37),"")</f>
        <v/>
      </c>
      <c r="Q8" s="244"/>
      <c r="R8" s="247" t="str">
        <f>IF(AND('Mapa final'!$H$44="Muy Alta",'Mapa final'!$L$44="Menor"),CONCATENATE("R",'Mapa final'!$A$44),"")</f>
        <v/>
      </c>
      <c r="S8" s="244"/>
      <c r="T8" s="247" t="str">
        <f>IF(AND('Mapa final'!$H$51="Muy Alta",'Mapa final'!$L$51="Menor"),CONCATENATE("R",'Mapa final'!$A$51),"")</f>
        <v/>
      </c>
      <c r="U8" s="232"/>
      <c r="V8" s="246" t="str">
        <f>IF(AND('Mapa final'!$H$37="Muy Alta",'Mapa final'!$L$37="Moderado"),CONCATENATE("R",'Mapa final'!$A$37),"")</f>
        <v/>
      </c>
      <c r="W8" s="244"/>
      <c r="X8" s="247" t="str">
        <f>IF(AND('Mapa final'!$H$44="Muy Alta",'Mapa final'!$L$44="Moderado"),CONCATENATE("R",'Mapa final'!$A$44),"")</f>
        <v/>
      </c>
      <c r="Y8" s="244"/>
      <c r="Z8" s="247" t="str">
        <f>IF(AND('Mapa final'!$H$51="Muy Alta",'Mapa final'!$L$51="Moderado"),CONCATENATE("R",'Mapa final'!$A$51),"")</f>
        <v/>
      </c>
      <c r="AA8" s="232"/>
      <c r="AB8" s="246" t="str">
        <f>IF(AND('Mapa final'!$H$37="Muy Alta",'Mapa final'!$L$37="Mayor"),CONCATENATE("R",'Mapa final'!$A$37),"")</f>
        <v/>
      </c>
      <c r="AC8" s="244"/>
      <c r="AD8" s="247" t="str">
        <f>IF(AND('Mapa final'!$H$44="Muy Alta",'Mapa final'!$L$44="Mayor"),CONCATENATE("R",'Mapa final'!$A$44),"")</f>
        <v/>
      </c>
      <c r="AE8" s="244"/>
      <c r="AF8" s="247" t="str">
        <f>IF(AND('Mapa final'!$H$51="Muy Alta",'Mapa final'!$L$51="Mayor"),CONCATENATE("R",'Mapa final'!$A$51),"")</f>
        <v/>
      </c>
      <c r="AG8" s="232"/>
      <c r="AH8" s="248" t="str">
        <f>IF(AND('Mapa final'!$H$37="Muy Alta",'Mapa final'!$L$37="Catastrófico"),CONCATENATE("R",'Mapa final'!$A$37),"")</f>
        <v/>
      </c>
      <c r="AI8" s="244"/>
      <c r="AJ8" s="249" t="str">
        <f>IF(AND('Mapa final'!$H$44="Muy Alta",'Mapa final'!$L$44="Catastrófico"),CONCATENATE("R",'Mapa final'!$A$44),"")</f>
        <v/>
      </c>
      <c r="AK8" s="244"/>
      <c r="AL8" s="249" t="str">
        <f>IF(AND('Mapa final'!$H$51="Muy Alta",'Mapa final'!$L$51="Catastrófico"),CONCATENATE("R",'Mapa final'!$A$51),"")</f>
        <v/>
      </c>
      <c r="AM8" s="232"/>
      <c r="AN8" s="1"/>
      <c r="AO8" s="272"/>
      <c r="AP8" s="218"/>
      <c r="AQ8" s="218"/>
      <c r="AR8" s="218"/>
      <c r="AS8" s="218"/>
      <c r="AT8" s="273"/>
    </row>
    <row r="9" spans="2:46" ht="15" customHeight="1" x14ac:dyDescent="0.25">
      <c r="B9" s="263"/>
      <c r="C9" s="218"/>
      <c r="D9" s="219"/>
      <c r="E9" s="230"/>
      <c r="F9" s="218"/>
      <c r="G9" s="218"/>
      <c r="H9" s="218"/>
      <c r="I9" s="219"/>
      <c r="J9" s="240"/>
      <c r="K9" s="237"/>
      <c r="L9" s="233"/>
      <c r="M9" s="237"/>
      <c r="N9" s="233"/>
      <c r="O9" s="234"/>
      <c r="P9" s="240"/>
      <c r="Q9" s="237"/>
      <c r="R9" s="233"/>
      <c r="S9" s="237"/>
      <c r="T9" s="233"/>
      <c r="U9" s="234"/>
      <c r="V9" s="240"/>
      <c r="W9" s="237"/>
      <c r="X9" s="233"/>
      <c r="Y9" s="237"/>
      <c r="Z9" s="233"/>
      <c r="AA9" s="234"/>
      <c r="AB9" s="240"/>
      <c r="AC9" s="237"/>
      <c r="AD9" s="233"/>
      <c r="AE9" s="237"/>
      <c r="AF9" s="233"/>
      <c r="AG9" s="234"/>
      <c r="AH9" s="240"/>
      <c r="AI9" s="237"/>
      <c r="AJ9" s="233"/>
      <c r="AK9" s="237"/>
      <c r="AL9" s="233"/>
      <c r="AM9" s="234"/>
      <c r="AN9" s="1"/>
      <c r="AO9" s="272"/>
      <c r="AP9" s="218"/>
      <c r="AQ9" s="218"/>
      <c r="AR9" s="218"/>
      <c r="AS9" s="218"/>
      <c r="AT9" s="273"/>
    </row>
    <row r="10" spans="2:46" ht="15" customHeight="1" x14ac:dyDescent="0.25">
      <c r="B10" s="263"/>
      <c r="C10" s="218"/>
      <c r="D10" s="219"/>
      <c r="E10" s="230"/>
      <c r="F10" s="218"/>
      <c r="G10" s="218"/>
      <c r="H10" s="218"/>
      <c r="I10" s="219"/>
      <c r="J10" s="246" t="e">
        <f>IF(AND('Mapa final'!#REF!="Muy Alta",'Mapa final'!#REF!="Leve"),CONCATENATE("R",'Mapa final'!#REF!),"")</f>
        <v>#REF!</v>
      </c>
      <c r="K10" s="244"/>
      <c r="L10" s="247" t="e">
        <f>IF(AND('Mapa final'!#REF!="Muy Alta",'Mapa final'!#REF!="Leve"),CONCATENATE("R",'Mapa final'!#REF!),"")</f>
        <v>#REF!</v>
      </c>
      <c r="M10" s="244"/>
      <c r="N10" s="247" t="e">
        <f>IF(AND('Mapa final'!#REF!="Muy Alta",'Mapa final'!#REF!="Leve"),CONCATENATE("R",'Mapa final'!#REF!),"")</f>
        <v>#REF!</v>
      </c>
      <c r="O10" s="232"/>
      <c r="P10" s="246" t="e">
        <f>IF(AND('Mapa final'!#REF!="Muy Alta",'Mapa final'!#REF!="Menor"),CONCATENATE("R",'Mapa final'!#REF!),"")</f>
        <v>#REF!</v>
      </c>
      <c r="Q10" s="244"/>
      <c r="R10" s="247" t="e">
        <f>IF(AND('Mapa final'!#REF!="Muy Alta",'Mapa final'!#REF!="Menor"),CONCATENATE("R",'Mapa final'!#REF!),"")</f>
        <v>#REF!</v>
      </c>
      <c r="S10" s="244"/>
      <c r="T10" s="247" t="e">
        <f>IF(AND('Mapa final'!#REF!="Muy Alta",'Mapa final'!#REF!="Menor"),CONCATENATE("R",'Mapa final'!#REF!),"")</f>
        <v>#REF!</v>
      </c>
      <c r="U10" s="232"/>
      <c r="V10" s="246" t="e">
        <f>IF(AND('Mapa final'!#REF!="Muy Alta",'Mapa final'!#REF!="Moderado"),CONCATENATE("R",'Mapa final'!#REF!),"")</f>
        <v>#REF!</v>
      </c>
      <c r="W10" s="244"/>
      <c r="X10" s="247" t="e">
        <f>IF(AND('Mapa final'!#REF!="Muy Alta",'Mapa final'!#REF!="Moderado"),CONCATENATE("R",'Mapa final'!#REF!),"")</f>
        <v>#REF!</v>
      </c>
      <c r="Y10" s="244"/>
      <c r="Z10" s="247" t="e">
        <f>IF(AND('Mapa final'!#REF!="Muy Alta",'Mapa final'!#REF!="Moderado"),CONCATENATE("R",'Mapa final'!#REF!),"")</f>
        <v>#REF!</v>
      </c>
      <c r="AA10" s="232"/>
      <c r="AB10" s="246" t="e">
        <f>IF(AND('Mapa final'!#REF!="Muy Alta",'Mapa final'!#REF!="Mayor"),CONCATENATE("R",'Mapa final'!#REF!),"")</f>
        <v>#REF!</v>
      </c>
      <c r="AC10" s="244"/>
      <c r="AD10" s="247" t="e">
        <f>IF(AND('Mapa final'!#REF!="Muy Alta",'Mapa final'!#REF!="Mayor"),CONCATENATE("R",'Mapa final'!#REF!),"")</f>
        <v>#REF!</v>
      </c>
      <c r="AE10" s="244"/>
      <c r="AF10" s="247" t="e">
        <f>IF(AND('Mapa final'!#REF!="Muy Alta",'Mapa final'!#REF!="Mayor"),CONCATENATE("R",'Mapa final'!#REF!),"")</f>
        <v>#REF!</v>
      </c>
      <c r="AG10" s="232"/>
      <c r="AH10" s="248" t="e">
        <f>IF(AND('Mapa final'!#REF!="Muy Alta",'Mapa final'!#REF!="Catastrófico"),CONCATENATE("R",'Mapa final'!#REF!),"")</f>
        <v>#REF!</v>
      </c>
      <c r="AI10" s="244"/>
      <c r="AJ10" s="249" t="e">
        <f>IF(AND('Mapa final'!#REF!="Muy Alta",'Mapa final'!#REF!="Catastrófico"),CONCATENATE("R",'Mapa final'!#REF!),"")</f>
        <v>#REF!</v>
      </c>
      <c r="AK10" s="244"/>
      <c r="AL10" s="249" t="e">
        <f>IF(AND('Mapa final'!#REF!="Muy Alta",'Mapa final'!#REF!="Catastrófico"),CONCATENATE("R",'Mapa final'!#REF!),"")</f>
        <v>#REF!</v>
      </c>
      <c r="AM10" s="232"/>
      <c r="AN10" s="1"/>
      <c r="AO10" s="272"/>
      <c r="AP10" s="218"/>
      <c r="AQ10" s="218"/>
      <c r="AR10" s="218"/>
      <c r="AS10" s="218"/>
      <c r="AT10" s="273"/>
    </row>
    <row r="11" spans="2:46" ht="15" customHeight="1" x14ac:dyDescent="0.25">
      <c r="B11" s="263"/>
      <c r="C11" s="218"/>
      <c r="D11" s="219"/>
      <c r="E11" s="230"/>
      <c r="F11" s="218"/>
      <c r="G11" s="218"/>
      <c r="H11" s="218"/>
      <c r="I11" s="219"/>
      <c r="J11" s="240"/>
      <c r="K11" s="237"/>
      <c r="L11" s="233"/>
      <c r="M11" s="237"/>
      <c r="N11" s="233"/>
      <c r="O11" s="234"/>
      <c r="P11" s="240"/>
      <c r="Q11" s="237"/>
      <c r="R11" s="233"/>
      <c r="S11" s="237"/>
      <c r="T11" s="233"/>
      <c r="U11" s="234"/>
      <c r="V11" s="240"/>
      <c r="W11" s="237"/>
      <c r="X11" s="233"/>
      <c r="Y11" s="237"/>
      <c r="Z11" s="233"/>
      <c r="AA11" s="234"/>
      <c r="AB11" s="240"/>
      <c r="AC11" s="237"/>
      <c r="AD11" s="233"/>
      <c r="AE11" s="237"/>
      <c r="AF11" s="233"/>
      <c r="AG11" s="234"/>
      <c r="AH11" s="240"/>
      <c r="AI11" s="237"/>
      <c r="AJ11" s="233"/>
      <c r="AK11" s="237"/>
      <c r="AL11" s="233"/>
      <c r="AM11" s="234"/>
      <c r="AN11" s="1"/>
      <c r="AO11" s="272"/>
      <c r="AP11" s="218"/>
      <c r="AQ11" s="218"/>
      <c r="AR11" s="218"/>
      <c r="AS11" s="218"/>
      <c r="AT11" s="273"/>
    </row>
    <row r="12" spans="2:46" ht="15" customHeight="1" x14ac:dyDescent="0.25">
      <c r="B12" s="263"/>
      <c r="C12" s="218"/>
      <c r="D12" s="219"/>
      <c r="E12" s="230"/>
      <c r="F12" s="218"/>
      <c r="G12" s="218"/>
      <c r="H12" s="218"/>
      <c r="I12" s="219"/>
      <c r="J12" s="246" t="e">
        <f>IF(AND('Mapa final'!#REF!="Muy Alta",'Mapa final'!#REF!="Leve"),CONCATENATE("R",'Mapa final'!#REF!),"")</f>
        <v>#REF!</v>
      </c>
      <c r="K12" s="244"/>
      <c r="L12" s="247" t="e">
        <f>IF(AND('Mapa final'!#REF!="Muy Alta",'Mapa final'!#REF!="Leve"),CONCATENATE("R",'Mapa final'!#REF!),"")</f>
        <v>#REF!</v>
      </c>
      <c r="M12" s="244"/>
      <c r="N12" s="247" t="str">
        <f>IF(AND('Mapa final'!$H$134="Muy Alta",'Mapa final'!$L$134="Leve"),CONCATENATE("R",'Mapa final'!$A$134),"")</f>
        <v/>
      </c>
      <c r="O12" s="232"/>
      <c r="P12" s="246" t="e">
        <f>IF(AND('Mapa final'!#REF!="Muy Alta",'Mapa final'!#REF!="Menor"),CONCATENATE("R",'Mapa final'!#REF!),"")</f>
        <v>#REF!</v>
      </c>
      <c r="Q12" s="244"/>
      <c r="R12" s="247" t="e">
        <f>IF(AND('Mapa final'!#REF!="Muy Alta",'Mapa final'!#REF!="Menor"),CONCATENATE("R",'Mapa final'!#REF!),"")</f>
        <v>#REF!</v>
      </c>
      <c r="S12" s="244"/>
      <c r="T12" s="247" t="str">
        <f>IF(AND('Mapa final'!$H$134="Muy Alta",'Mapa final'!$L$134="Menor"),CONCATENATE("R",'Mapa final'!$A$134),"")</f>
        <v/>
      </c>
      <c r="U12" s="232"/>
      <c r="V12" s="246" t="e">
        <f>IF(AND('Mapa final'!#REF!="Muy Alta",'Mapa final'!#REF!="Moderado"),CONCATENATE("R",'Mapa final'!#REF!),"")</f>
        <v>#REF!</v>
      </c>
      <c r="W12" s="244"/>
      <c r="X12" s="247" t="e">
        <f>IF(AND('Mapa final'!#REF!="Muy Alta",'Mapa final'!#REF!="Moderado"),CONCATENATE("R",'Mapa final'!#REF!),"")</f>
        <v>#REF!</v>
      </c>
      <c r="Y12" s="244"/>
      <c r="Z12" s="247" t="str">
        <f>IF(AND('Mapa final'!$H$134="Muy Alta",'Mapa final'!$L$134="Moderado"),CONCATENATE("R",'Mapa final'!$A$134),"")</f>
        <v/>
      </c>
      <c r="AA12" s="232"/>
      <c r="AB12" s="246" t="e">
        <f>IF(AND('Mapa final'!#REF!="Muy Alta",'Mapa final'!#REF!="Mayor"),CONCATENATE("R",'Mapa final'!#REF!),"")</f>
        <v>#REF!</v>
      </c>
      <c r="AC12" s="244"/>
      <c r="AD12" s="247" t="e">
        <f>IF(AND('Mapa final'!#REF!="Muy Alta",'Mapa final'!#REF!="Mayor"),CONCATENATE("R",'Mapa final'!#REF!),"")</f>
        <v>#REF!</v>
      </c>
      <c r="AE12" s="244"/>
      <c r="AF12" s="247" t="str">
        <f>IF(AND('Mapa final'!$H$134="Muy Alta",'Mapa final'!$L$134="Mayor"),CONCATENATE("R",'Mapa final'!$A$134),"")</f>
        <v/>
      </c>
      <c r="AG12" s="232"/>
      <c r="AH12" s="248" t="e">
        <f>IF(AND('Mapa final'!#REF!="Muy Alta",'Mapa final'!#REF!="Catastrófico"),CONCATENATE("R",'Mapa final'!#REF!),"")</f>
        <v>#REF!</v>
      </c>
      <c r="AI12" s="244"/>
      <c r="AJ12" s="249" t="e">
        <f>IF(AND('Mapa final'!#REF!="Muy Alta",'Mapa final'!#REF!="Catastrófico"),CONCATENATE("R",'Mapa final'!#REF!),"")</f>
        <v>#REF!</v>
      </c>
      <c r="AK12" s="244"/>
      <c r="AL12" s="249" t="str">
        <f>IF(AND('Mapa final'!$H$134="Muy Alta",'Mapa final'!$L$134="Catastrófico"),CONCATENATE("R",'Mapa final'!$A$134),"")</f>
        <v/>
      </c>
      <c r="AM12" s="232"/>
      <c r="AN12" s="1"/>
      <c r="AO12" s="272"/>
      <c r="AP12" s="218"/>
      <c r="AQ12" s="218"/>
      <c r="AR12" s="218"/>
      <c r="AS12" s="218"/>
      <c r="AT12" s="273"/>
    </row>
    <row r="13" spans="2:46" ht="15.75" customHeight="1" x14ac:dyDescent="0.25">
      <c r="B13" s="263"/>
      <c r="C13" s="218"/>
      <c r="D13" s="219"/>
      <c r="E13" s="253"/>
      <c r="F13" s="254"/>
      <c r="G13" s="254"/>
      <c r="H13" s="254"/>
      <c r="I13" s="257"/>
      <c r="J13" s="240"/>
      <c r="K13" s="237"/>
      <c r="L13" s="233"/>
      <c r="M13" s="237"/>
      <c r="N13" s="233"/>
      <c r="O13" s="234"/>
      <c r="P13" s="240"/>
      <c r="Q13" s="237"/>
      <c r="R13" s="233"/>
      <c r="S13" s="237"/>
      <c r="T13" s="233"/>
      <c r="U13" s="234"/>
      <c r="V13" s="240"/>
      <c r="W13" s="237"/>
      <c r="X13" s="233"/>
      <c r="Y13" s="237"/>
      <c r="Z13" s="233"/>
      <c r="AA13" s="234"/>
      <c r="AB13" s="240"/>
      <c r="AC13" s="237"/>
      <c r="AD13" s="233"/>
      <c r="AE13" s="237"/>
      <c r="AF13" s="233"/>
      <c r="AG13" s="234"/>
      <c r="AH13" s="253"/>
      <c r="AI13" s="255"/>
      <c r="AJ13" s="256"/>
      <c r="AK13" s="255"/>
      <c r="AL13" s="256"/>
      <c r="AM13" s="257"/>
      <c r="AN13" s="1"/>
      <c r="AO13" s="274"/>
      <c r="AP13" s="275"/>
      <c r="AQ13" s="275"/>
      <c r="AR13" s="275"/>
      <c r="AS13" s="275"/>
      <c r="AT13" s="276"/>
    </row>
    <row r="14" spans="2:46" ht="15" customHeight="1" x14ac:dyDescent="0.25">
      <c r="B14" s="263"/>
      <c r="C14" s="218"/>
      <c r="D14" s="219"/>
      <c r="E14" s="251" t="s">
        <v>97</v>
      </c>
      <c r="F14" s="252"/>
      <c r="G14" s="252"/>
      <c r="H14" s="252"/>
      <c r="I14" s="252"/>
      <c r="J14" s="250" t="str">
        <f>IF(AND('Mapa final'!$H$16="Alta",'Mapa final'!$L$16="Leve"),CONCATENATE("R",'Mapa final'!$A$16),"")</f>
        <v/>
      </c>
      <c r="K14" s="236"/>
      <c r="L14" s="235" t="str">
        <f>IF(AND('Mapa final'!$H$23="Alta",'Mapa final'!$L$23="Leve"),CONCATENATE("R",'Mapa final'!$A$23),"")</f>
        <v/>
      </c>
      <c r="M14" s="236"/>
      <c r="N14" s="235" t="str">
        <f>IF(AND('Mapa final'!$H$30="Alta",'Mapa final'!$L$30="Leve"),CONCATENATE("R",'Mapa final'!$A$30),"")</f>
        <v/>
      </c>
      <c r="O14" s="238"/>
      <c r="P14" s="250" t="str">
        <f>IF(AND('Mapa final'!$H$16="Alta",'Mapa final'!$L$16="Menor"),CONCATENATE("R",'Mapa final'!$A$16),"")</f>
        <v>R1</v>
      </c>
      <c r="Q14" s="236"/>
      <c r="R14" s="235" t="str">
        <f>IF(AND('Mapa final'!$H$23="Alta",'Mapa final'!$L$23="Menor"),CONCATENATE("R",'Mapa final'!$A$23),"")</f>
        <v>R2</v>
      </c>
      <c r="S14" s="236"/>
      <c r="T14" s="235" t="str">
        <f>IF(AND('Mapa final'!$H$30="Alta",'Mapa final'!$L$30="Menor"),CONCATENATE("R",'Mapa final'!$A$30),"")</f>
        <v/>
      </c>
      <c r="U14" s="238"/>
      <c r="V14" s="239" t="str">
        <f>IF(AND('Mapa final'!$H$16="Alta",'Mapa final'!$L$16="Moderado"),CONCATENATE("R",'Mapa final'!$A$16),"")</f>
        <v/>
      </c>
      <c r="W14" s="236"/>
      <c r="X14" s="241" t="str">
        <f>IF(AND('Mapa final'!$H$23="Alta",'Mapa final'!$L$23="Moderado"),CONCATENATE("R",'Mapa final'!$A$23),"")</f>
        <v/>
      </c>
      <c r="Y14" s="236"/>
      <c r="Z14" s="241" t="str">
        <f>IF(AND('Mapa final'!$H$30="Alta",'Mapa final'!$L$30="Moderado"),CONCATENATE("R",'Mapa final'!$A$30),"")</f>
        <v/>
      </c>
      <c r="AA14" s="238"/>
      <c r="AB14" s="239" t="str">
        <f>IF(AND('Mapa final'!$H$16="Alta",'Mapa final'!$L$16="Mayor"),CONCATENATE("R",'Mapa final'!$A$16),"")</f>
        <v/>
      </c>
      <c r="AC14" s="236"/>
      <c r="AD14" s="241" t="str">
        <f>IF(AND('Mapa final'!$H$23="Alta",'Mapa final'!$L$23="Mayor"),CONCATENATE("R",'Mapa final'!$A$23),"")</f>
        <v/>
      </c>
      <c r="AE14" s="236"/>
      <c r="AF14" s="241" t="str">
        <f>IF(AND('Mapa final'!$H$30="Alta",'Mapa final'!$L$30="Mayor"),CONCATENATE("R",'Mapa final'!$A$30),"")</f>
        <v/>
      </c>
      <c r="AG14" s="238"/>
      <c r="AH14" s="258" t="str">
        <f>IF(AND('Mapa final'!$H$16="Alta",'Mapa final'!$L$16="Catastrófico"),CONCATENATE("R",'Mapa final'!$A$16),"")</f>
        <v/>
      </c>
      <c r="AI14" s="236"/>
      <c r="AJ14" s="242" t="str">
        <f>IF(AND('Mapa final'!$H$23="Alta",'Mapa final'!$L$23="Catastrófico"),CONCATENATE("R",'Mapa final'!$A$23),"")</f>
        <v/>
      </c>
      <c r="AK14" s="236"/>
      <c r="AL14" s="242" t="str">
        <f>IF(AND('Mapa final'!$H$30="Alta",'Mapa final'!$L$30="Catastrófico"),CONCATENATE("R",'Mapa final'!$A$30),"")</f>
        <v/>
      </c>
      <c r="AM14" s="238"/>
      <c r="AN14" s="1"/>
      <c r="AO14" s="278" t="s">
        <v>98</v>
      </c>
      <c r="AP14" s="270"/>
      <c r="AQ14" s="270"/>
      <c r="AR14" s="270"/>
      <c r="AS14" s="270"/>
      <c r="AT14" s="271"/>
    </row>
    <row r="15" spans="2:46" ht="15" customHeight="1" x14ac:dyDescent="0.25">
      <c r="B15" s="263"/>
      <c r="C15" s="218"/>
      <c r="D15" s="219"/>
      <c r="E15" s="230"/>
      <c r="F15" s="218"/>
      <c r="G15" s="218"/>
      <c r="H15" s="218"/>
      <c r="I15" s="218"/>
      <c r="J15" s="240"/>
      <c r="K15" s="237"/>
      <c r="L15" s="233"/>
      <c r="M15" s="237"/>
      <c r="N15" s="233"/>
      <c r="O15" s="234"/>
      <c r="P15" s="240"/>
      <c r="Q15" s="237"/>
      <c r="R15" s="233"/>
      <c r="S15" s="237"/>
      <c r="T15" s="233"/>
      <c r="U15" s="234"/>
      <c r="V15" s="240"/>
      <c r="W15" s="237"/>
      <c r="X15" s="233"/>
      <c r="Y15" s="237"/>
      <c r="Z15" s="233"/>
      <c r="AA15" s="234"/>
      <c r="AB15" s="240"/>
      <c r="AC15" s="237"/>
      <c r="AD15" s="233"/>
      <c r="AE15" s="237"/>
      <c r="AF15" s="233"/>
      <c r="AG15" s="234"/>
      <c r="AH15" s="240"/>
      <c r="AI15" s="237"/>
      <c r="AJ15" s="233"/>
      <c r="AK15" s="237"/>
      <c r="AL15" s="233"/>
      <c r="AM15" s="234"/>
      <c r="AN15" s="1"/>
      <c r="AO15" s="272"/>
      <c r="AP15" s="218"/>
      <c r="AQ15" s="218"/>
      <c r="AR15" s="218"/>
      <c r="AS15" s="218"/>
      <c r="AT15" s="273"/>
    </row>
    <row r="16" spans="2:46" ht="15" customHeight="1" x14ac:dyDescent="0.25">
      <c r="B16" s="263"/>
      <c r="C16" s="218"/>
      <c r="D16" s="219"/>
      <c r="E16" s="230"/>
      <c r="F16" s="218"/>
      <c r="G16" s="218"/>
      <c r="H16" s="218"/>
      <c r="I16" s="218"/>
      <c r="J16" s="245" t="str">
        <f>IF(AND('Mapa final'!$H$37="Alta",'Mapa final'!$L$37="Leve"),CONCATENATE("R",'Mapa final'!$A$37),"")</f>
        <v/>
      </c>
      <c r="K16" s="244"/>
      <c r="L16" s="231" t="str">
        <f>IF(AND('Mapa final'!$H$44="Alta",'Mapa final'!$L$44="Leve"),CONCATENATE("R",'Mapa final'!$A$44),"")</f>
        <v/>
      </c>
      <c r="M16" s="244"/>
      <c r="N16" s="231" t="str">
        <f>IF(AND('Mapa final'!$H$51="Alta",'Mapa final'!$L$51="Leve"),CONCATENATE("R",'Mapa final'!$A$51),"")</f>
        <v/>
      </c>
      <c r="O16" s="232"/>
      <c r="P16" s="245" t="str">
        <f>IF(AND('Mapa final'!$H$37="Alta",'Mapa final'!$L$37="Menor"),CONCATENATE("R",'Mapa final'!$A$37),"")</f>
        <v>R4</v>
      </c>
      <c r="Q16" s="244"/>
      <c r="R16" s="231" t="str">
        <f>IF(AND('Mapa final'!$H$44="Alta",'Mapa final'!$L$44="Menor"),CONCATENATE("R",'Mapa final'!$A$44),"")</f>
        <v/>
      </c>
      <c r="S16" s="244"/>
      <c r="T16" s="231" t="str">
        <f>IF(AND('Mapa final'!$H$51="Alta",'Mapa final'!$L$51="Menor"),CONCATENATE("R",'Mapa final'!$A$51),"")</f>
        <v/>
      </c>
      <c r="U16" s="232"/>
      <c r="V16" s="246" t="str">
        <f>IF(AND('Mapa final'!$H$37="Alta",'Mapa final'!$L$37="Moderado"),CONCATENATE("R",'Mapa final'!$A$37),"")</f>
        <v/>
      </c>
      <c r="W16" s="244"/>
      <c r="X16" s="247" t="str">
        <f>IF(AND('Mapa final'!$H$44="Alta",'Mapa final'!$L$44="Moderado"),CONCATENATE("R",'Mapa final'!$A$44),"")</f>
        <v/>
      </c>
      <c r="Y16" s="244"/>
      <c r="Z16" s="247" t="str">
        <f>IF(AND('Mapa final'!$H$51="Alta",'Mapa final'!$L$51="Moderado"),CONCATENATE("R",'Mapa final'!$A$51),"")</f>
        <v/>
      </c>
      <c r="AA16" s="232"/>
      <c r="AB16" s="246" t="str">
        <f>IF(AND('Mapa final'!$H$37="Alta",'Mapa final'!$L$37="Mayor"),CONCATENATE("R",'Mapa final'!$A$37),"")</f>
        <v/>
      </c>
      <c r="AC16" s="244"/>
      <c r="AD16" s="247" t="str">
        <f>IF(AND('Mapa final'!$H$44="Alta",'Mapa final'!$L$44="Mayor"),CONCATENATE("R",'Mapa final'!$A$44),"")</f>
        <v/>
      </c>
      <c r="AE16" s="244"/>
      <c r="AF16" s="247" t="str">
        <f>IF(AND('Mapa final'!$H$51="Alta",'Mapa final'!$L$51="Mayor"),CONCATENATE("R",'Mapa final'!$A$51),"")</f>
        <v/>
      </c>
      <c r="AG16" s="232"/>
      <c r="AH16" s="248" t="str">
        <f>IF(AND('Mapa final'!$H$37="Alta",'Mapa final'!$L$37="Catastrófico"),CONCATENATE("R",'Mapa final'!$A$37),"")</f>
        <v/>
      </c>
      <c r="AI16" s="244"/>
      <c r="AJ16" s="249" t="str">
        <f>IF(AND('Mapa final'!$H$44="Alta",'Mapa final'!$L$44="Catastrófico"),CONCATENATE("R",'Mapa final'!$A$44),"")</f>
        <v/>
      </c>
      <c r="AK16" s="244"/>
      <c r="AL16" s="249" t="str">
        <f>IF(AND('Mapa final'!$H$51="Alta",'Mapa final'!$L$51="Catastrófico"),CONCATENATE("R",'Mapa final'!$A$51),"")</f>
        <v/>
      </c>
      <c r="AM16" s="232"/>
      <c r="AN16" s="1"/>
      <c r="AO16" s="272"/>
      <c r="AP16" s="218"/>
      <c r="AQ16" s="218"/>
      <c r="AR16" s="218"/>
      <c r="AS16" s="218"/>
      <c r="AT16" s="273"/>
    </row>
    <row r="17" spans="2:46" ht="15" customHeight="1" x14ac:dyDescent="0.25">
      <c r="B17" s="263"/>
      <c r="C17" s="218"/>
      <c r="D17" s="219"/>
      <c r="E17" s="230"/>
      <c r="F17" s="218"/>
      <c r="G17" s="218"/>
      <c r="H17" s="218"/>
      <c r="I17" s="218"/>
      <c r="J17" s="240"/>
      <c r="K17" s="237"/>
      <c r="L17" s="233"/>
      <c r="M17" s="237"/>
      <c r="N17" s="233"/>
      <c r="O17" s="234"/>
      <c r="P17" s="240"/>
      <c r="Q17" s="237"/>
      <c r="R17" s="233"/>
      <c r="S17" s="237"/>
      <c r="T17" s="233"/>
      <c r="U17" s="234"/>
      <c r="V17" s="240"/>
      <c r="W17" s="237"/>
      <c r="X17" s="233"/>
      <c r="Y17" s="237"/>
      <c r="Z17" s="233"/>
      <c r="AA17" s="234"/>
      <c r="AB17" s="240"/>
      <c r="AC17" s="237"/>
      <c r="AD17" s="233"/>
      <c r="AE17" s="237"/>
      <c r="AF17" s="233"/>
      <c r="AG17" s="234"/>
      <c r="AH17" s="240"/>
      <c r="AI17" s="237"/>
      <c r="AJ17" s="233"/>
      <c r="AK17" s="237"/>
      <c r="AL17" s="233"/>
      <c r="AM17" s="234"/>
      <c r="AN17" s="1"/>
      <c r="AO17" s="272"/>
      <c r="AP17" s="218"/>
      <c r="AQ17" s="218"/>
      <c r="AR17" s="218"/>
      <c r="AS17" s="218"/>
      <c r="AT17" s="273"/>
    </row>
    <row r="18" spans="2:46" ht="15" customHeight="1" x14ac:dyDescent="0.25">
      <c r="B18" s="263"/>
      <c r="C18" s="218"/>
      <c r="D18" s="219"/>
      <c r="E18" s="230"/>
      <c r="F18" s="218"/>
      <c r="G18" s="218"/>
      <c r="H18" s="218"/>
      <c r="I18" s="218"/>
      <c r="J18" s="245" t="e">
        <f>IF(AND('Mapa final'!#REF!="Alta",'Mapa final'!#REF!="Leve"),CONCATENATE("R",'Mapa final'!#REF!),"")</f>
        <v>#REF!</v>
      </c>
      <c r="K18" s="244"/>
      <c r="L18" s="231" t="e">
        <f>IF(AND('Mapa final'!#REF!="Alta",'Mapa final'!#REF!="Leve"),CONCATENATE("R",'Mapa final'!#REF!),"")</f>
        <v>#REF!</v>
      </c>
      <c r="M18" s="244"/>
      <c r="N18" s="231" t="e">
        <f>IF(AND('Mapa final'!#REF!="Alta",'Mapa final'!#REF!="Leve"),CONCATENATE("R",'Mapa final'!#REF!),"")</f>
        <v>#REF!</v>
      </c>
      <c r="O18" s="232"/>
      <c r="P18" s="245" t="e">
        <f>IF(AND('Mapa final'!#REF!="Alta",'Mapa final'!#REF!="Menor"),CONCATENATE("R",'Mapa final'!#REF!),"")</f>
        <v>#REF!</v>
      </c>
      <c r="Q18" s="244"/>
      <c r="R18" s="231" t="e">
        <f>IF(AND('Mapa final'!#REF!="Alta",'Mapa final'!#REF!="Menor"),CONCATENATE("R",'Mapa final'!#REF!),"")</f>
        <v>#REF!</v>
      </c>
      <c r="S18" s="244"/>
      <c r="T18" s="231" t="e">
        <f>IF(AND('Mapa final'!#REF!="Alta",'Mapa final'!#REF!="Menor"),CONCATENATE("R",'Mapa final'!#REF!),"")</f>
        <v>#REF!</v>
      </c>
      <c r="U18" s="232"/>
      <c r="V18" s="246" t="e">
        <f>IF(AND('Mapa final'!#REF!="Alta",'Mapa final'!#REF!="Moderado"),CONCATENATE("R",'Mapa final'!#REF!),"")</f>
        <v>#REF!</v>
      </c>
      <c r="W18" s="244"/>
      <c r="X18" s="247" t="e">
        <f>IF(AND('Mapa final'!#REF!="Alta",'Mapa final'!#REF!="Moderado"),CONCATENATE("R",'Mapa final'!#REF!),"")</f>
        <v>#REF!</v>
      </c>
      <c r="Y18" s="244"/>
      <c r="Z18" s="247" t="e">
        <f>IF(AND('Mapa final'!#REF!="Alta",'Mapa final'!#REF!="Moderado"),CONCATENATE("R",'Mapa final'!#REF!),"")</f>
        <v>#REF!</v>
      </c>
      <c r="AA18" s="232"/>
      <c r="AB18" s="246" t="e">
        <f>IF(AND('Mapa final'!#REF!="Alta",'Mapa final'!#REF!="Mayor"),CONCATENATE("R",'Mapa final'!#REF!),"")</f>
        <v>#REF!</v>
      </c>
      <c r="AC18" s="244"/>
      <c r="AD18" s="247" t="e">
        <f>IF(AND('Mapa final'!#REF!="Alta",'Mapa final'!#REF!="Mayor"),CONCATENATE("R",'Mapa final'!#REF!),"")</f>
        <v>#REF!</v>
      </c>
      <c r="AE18" s="244"/>
      <c r="AF18" s="247" t="e">
        <f>IF(AND('Mapa final'!#REF!="Alta",'Mapa final'!#REF!="Mayor"),CONCATENATE("R",'Mapa final'!#REF!),"")</f>
        <v>#REF!</v>
      </c>
      <c r="AG18" s="232"/>
      <c r="AH18" s="248" t="e">
        <f>IF(AND('Mapa final'!#REF!="Alta",'Mapa final'!#REF!="Catastrófico"),CONCATENATE("R",'Mapa final'!#REF!),"")</f>
        <v>#REF!</v>
      </c>
      <c r="AI18" s="244"/>
      <c r="AJ18" s="249" t="e">
        <f>IF(AND('Mapa final'!#REF!="Alta",'Mapa final'!#REF!="Catastrófico"),CONCATENATE("R",'Mapa final'!#REF!),"")</f>
        <v>#REF!</v>
      </c>
      <c r="AK18" s="244"/>
      <c r="AL18" s="249" t="e">
        <f>IF(AND('Mapa final'!#REF!="Alta",'Mapa final'!#REF!="Catastrófico"),CONCATENATE("R",'Mapa final'!#REF!),"")</f>
        <v>#REF!</v>
      </c>
      <c r="AM18" s="232"/>
      <c r="AN18" s="1"/>
      <c r="AO18" s="272"/>
      <c r="AP18" s="218"/>
      <c r="AQ18" s="218"/>
      <c r="AR18" s="218"/>
      <c r="AS18" s="218"/>
      <c r="AT18" s="273"/>
    </row>
    <row r="19" spans="2:46" ht="15" customHeight="1" x14ac:dyDescent="0.25">
      <c r="B19" s="263"/>
      <c r="C19" s="218"/>
      <c r="D19" s="219"/>
      <c r="E19" s="230"/>
      <c r="F19" s="218"/>
      <c r="G19" s="218"/>
      <c r="H19" s="218"/>
      <c r="I19" s="218"/>
      <c r="J19" s="240"/>
      <c r="K19" s="237"/>
      <c r="L19" s="233"/>
      <c r="M19" s="237"/>
      <c r="N19" s="233"/>
      <c r="O19" s="234"/>
      <c r="P19" s="240"/>
      <c r="Q19" s="237"/>
      <c r="R19" s="233"/>
      <c r="S19" s="237"/>
      <c r="T19" s="233"/>
      <c r="U19" s="234"/>
      <c r="V19" s="240"/>
      <c r="W19" s="237"/>
      <c r="X19" s="233"/>
      <c r="Y19" s="237"/>
      <c r="Z19" s="233"/>
      <c r="AA19" s="234"/>
      <c r="AB19" s="240"/>
      <c r="AC19" s="237"/>
      <c r="AD19" s="233"/>
      <c r="AE19" s="237"/>
      <c r="AF19" s="233"/>
      <c r="AG19" s="234"/>
      <c r="AH19" s="240"/>
      <c r="AI19" s="237"/>
      <c r="AJ19" s="233"/>
      <c r="AK19" s="237"/>
      <c r="AL19" s="233"/>
      <c r="AM19" s="234"/>
      <c r="AN19" s="1"/>
      <c r="AO19" s="272"/>
      <c r="AP19" s="218"/>
      <c r="AQ19" s="218"/>
      <c r="AR19" s="218"/>
      <c r="AS19" s="218"/>
      <c r="AT19" s="273"/>
    </row>
    <row r="20" spans="2:46" ht="15" customHeight="1" x14ac:dyDescent="0.25">
      <c r="B20" s="263"/>
      <c r="C20" s="218"/>
      <c r="D20" s="219"/>
      <c r="E20" s="230"/>
      <c r="F20" s="218"/>
      <c r="G20" s="218"/>
      <c r="H20" s="218"/>
      <c r="I20" s="218"/>
      <c r="J20" s="245" t="e">
        <f>IF(AND('Mapa final'!#REF!="Alta",'Mapa final'!#REF!="Leve"),CONCATENATE("R",'Mapa final'!#REF!),"")</f>
        <v>#REF!</v>
      </c>
      <c r="K20" s="244"/>
      <c r="L20" s="231" t="e">
        <f>IF(AND('Mapa final'!#REF!="Alta",'Mapa final'!#REF!="Leve"),CONCATENATE("R",'Mapa final'!#REF!),"")</f>
        <v>#REF!</v>
      </c>
      <c r="M20" s="244"/>
      <c r="N20" s="231" t="str">
        <f>IF(AND('Mapa final'!$H$134="Alta",'Mapa final'!$L$134="Leve"),CONCATENATE("R",'Mapa final'!$A$134),"")</f>
        <v/>
      </c>
      <c r="O20" s="232"/>
      <c r="P20" s="245" t="e">
        <f>IF(AND('Mapa final'!#REF!="Alta",'Mapa final'!#REF!="Menor"),CONCATENATE("R",'Mapa final'!#REF!),"")</f>
        <v>#REF!</v>
      </c>
      <c r="Q20" s="244"/>
      <c r="R20" s="231" t="e">
        <f>IF(AND('Mapa final'!#REF!="Alta",'Mapa final'!#REF!="Menor"),CONCATENATE("R",'Mapa final'!#REF!),"")</f>
        <v>#REF!</v>
      </c>
      <c r="S20" s="244"/>
      <c r="T20" s="231" t="str">
        <f>IF(AND('Mapa final'!$H$134="Alta",'Mapa final'!$L$134="Menor"),CONCATENATE("R",'Mapa final'!$A$134),"")</f>
        <v/>
      </c>
      <c r="U20" s="232"/>
      <c r="V20" s="246" t="e">
        <f>IF(AND('Mapa final'!#REF!="Alta",'Mapa final'!#REF!="Moderado"),CONCATENATE("R",'Mapa final'!#REF!),"")</f>
        <v>#REF!</v>
      </c>
      <c r="W20" s="244"/>
      <c r="X20" s="247" t="e">
        <f>IF(AND('Mapa final'!#REF!="Alta",'Mapa final'!#REF!="Moderado"),CONCATENATE("R",'Mapa final'!#REF!),"")</f>
        <v>#REF!</v>
      </c>
      <c r="Y20" s="244"/>
      <c r="Z20" s="247" t="str">
        <f>IF(AND('Mapa final'!$H$134="Alta",'Mapa final'!$L$134="Moderado"),CONCATENATE("R",'Mapa final'!$A$134),"")</f>
        <v/>
      </c>
      <c r="AA20" s="232"/>
      <c r="AB20" s="246" t="e">
        <f>IF(AND('Mapa final'!#REF!="Alta",'Mapa final'!#REF!="Mayor"),CONCATENATE("R",'Mapa final'!#REF!),"")</f>
        <v>#REF!</v>
      </c>
      <c r="AC20" s="244"/>
      <c r="AD20" s="247" t="e">
        <f>IF(AND('Mapa final'!#REF!="Alta",'Mapa final'!#REF!="Mayor"),CONCATENATE("R",'Mapa final'!#REF!),"")</f>
        <v>#REF!</v>
      </c>
      <c r="AE20" s="244"/>
      <c r="AF20" s="247" t="str">
        <f>IF(AND('Mapa final'!$H$134="Alta",'Mapa final'!$L$134="Mayor"),CONCATENATE("R",'Mapa final'!$A$134),"")</f>
        <v/>
      </c>
      <c r="AG20" s="232"/>
      <c r="AH20" s="248" t="e">
        <f>IF(AND('Mapa final'!#REF!="Alta",'Mapa final'!#REF!="Catastrófico"),CONCATENATE("R",'Mapa final'!#REF!),"")</f>
        <v>#REF!</v>
      </c>
      <c r="AI20" s="244"/>
      <c r="AJ20" s="249" t="e">
        <f>IF(AND('Mapa final'!#REF!="Alta",'Mapa final'!#REF!="Catastrófico"),CONCATENATE("R",'Mapa final'!#REF!),"")</f>
        <v>#REF!</v>
      </c>
      <c r="AK20" s="244"/>
      <c r="AL20" s="249" t="str">
        <f>IF(AND('Mapa final'!$H$134="Alta",'Mapa final'!$L$134="Catastrófico"),CONCATENATE("R",'Mapa final'!$A$134),"")</f>
        <v/>
      </c>
      <c r="AM20" s="232"/>
      <c r="AN20" s="1"/>
      <c r="AO20" s="272"/>
      <c r="AP20" s="218"/>
      <c r="AQ20" s="218"/>
      <c r="AR20" s="218"/>
      <c r="AS20" s="218"/>
      <c r="AT20" s="273"/>
    </row>
    <row r="21" spans="2:46" ht="15.75" customHeight="1" x14ac:dyDescent="0.25">
      <c r="B21" s="263"/>
      <c r="C21" s="218"/>
      <c r="D21" s="219"/>
      <c r="E21" s="253"/>
      <c r="F21" s="254"/>
      <c r="G21" s="254"/>
      <c r="H21" s="254"/>
      <c r="I21" s="254"/>
      <c r="J21" s="253"/>
      <c r="K21" s="255"/>
      <c r="L21" s="256"/>
      <c r="M21" s="255"/>
      <c r="N21" s="256"/>
      <c r="O21" s="257"/>
      <c r="P21" s="253"/>
      <c r="Q21" s="255"/>
      <c r="R21" s="256"/>
      <c r="S21" s="255"/>
      <c r="T21" s="256"/>
      <c r="U21" s="257"/>
      <c r="V21" s="253"/>
      <c r="W21" s="255"/>
      <c r="X21" s="256"/>
      <c r="Y21" s="255"/>
      <c r="Z21" s="256"/>
      <c r="AA21" s="257"/>
      <c r="AB21" s="253"/>
      <c r="AC21" s="255"/>
      <c r="AD21" s="256"/>
      <c r="AE21" s="255"/>
      <c r="AF21" s="256"/>
      <c r="AG21" s="257"/>
      <c r="AH21" s="253"/>
      <c r="AI21" s="255"/>
      <c r="AJ21" s="256"/>
      <c r="AK21" s="255"/>
      <c r="AL21" s="256"/>
      <c r="AM21" s="257"/>
      <c r="AN21" s="1"/>
      <c r="AO21" s="274"/>
      <c r="AP21" s="275"/>
      <c r="AQ21" s="275"/>
      <c r="AR21" s="275"/>
      <c r="AS21" s="275"/>
      <c r="AT21" s="276"/>
    </row>
    <row r="22" spans="2:46" ht="15.75" customHeight="1" x14ac:dyDescent="0.25">
      <c r="B22" s="263"/>
      <c r="C22" s="218"/>
      <c r="D22" s="219"/>
      <c r="E22" s="251" t="s">
        <v>99</v>
      </c>
      <c r="F22" s="252"/>
      <c r="G22" s="252"/>
      <c r="H22" s="252"/>
      <c r="I22" s="238"/>
      <c r="J22" s="250" t="str">
        <f>IF(AND('Mapa final'!$H$16="Media",'Mapa final'!$L$16="Leve"),CONCATENATE("R",'Mapa final'!$A$16),"")</f>
        <v/>
      </c>
      <c r="K22" s="236"/>
      <c r="L22" s="235" t="str">
        <f>IF(AND('Mapa final'!$H$23="Media",'Mapa final'!$L$23="Leve"),CONCATENATE("R",'Mapa final'!$A$23),"")</f>
        <v/>
      </c>
      <c r="M22" s="236"/>
      <c r="N22" s="235" t="str">
        <f>IF(AND('Mapa final'!$H$30="Media",'Mapa final'!$L$30="Leve"),CONCATENATE("R",'Mapa final'!$A$30),"")</f>
        <v/>
      </c>
      <c r="O22" s="238"/>
      <c r="P22" s="250" t="str">
        <f>IF(AND('Mapa final'!$H$16="Media",'Mapa final'!$L$16="Menor"),CONCATENATE("R",'Mapa final'!$A$16),"")</f>
        <v/>
      </c>
      <c r="Q22" s="236"/>
      <c r="R22" s="235" t="str">
        <f>IF(AND('Mapa final'!$H$23="Media",'Mapa final'!$L$23="Menor"),CONCATENATE("R",'Mapa final'!$A$23),"")</f>
        <v/>
      </c>
      <c r="S22" s="236"/>
      <c r="T22" s="235" t="str">
        <f>IF(AND('Mapa final'!$H$30="Media",'Mapa final'!$L$30="Menor"),CONCATENATE("R",'Mapa final'!$A$30),"")</f>
        <v>R3</v>
      </c>
      <c r="U22" s="238"/>
      <c r="V22" s="250" t="str">
        <f>IF(AND('Mapa final'!$H$16="Media",'Mapa final'!$L$16="Moderado"),CONCATENATE("R",'Mapa final'!$A$16),"")</f>
        <v/>
      </c>
      <c r="W22" s="236"/>
      <c r="X22" s="235" t="str">
        <f>IF(AND('Mapa final'!$H$23="Media",'Mapa final'!$L$23="Moderado"),CONCATENATE("R",'Mapa final'!$A$23),"")</f>
        <v/>
      </c>
      <c r="Y22" s="236"/>
      <c r="Z22" s="235" t="str">
        <f>IF(AND('Mapa final'!$H$30="Media",'Mapa final'!$L$30="Moderado"),CONCATENATE("R",'Mapa final'!$A$30),"")</f>
        <v/>
      </c>
      <c r="AA22" s="238"/>
      <c r="AB22" s="239" t="str">
        <f>IF(AND('Mapa final'!$H$16="Media",'Mapa final'!$L$16="Mayor"),CONCATENATE("R",'Mapa final'!$A$16),"")</f>
        <v/>
      </c>
      <c r="AC22" s="236"/>
      <c r="AD22" s="241" t="str">
        <f>IF(AND('Mapa final'!$H$23="Media",'Mapa final'!$L$23="Mayor"),CONCATENATE("R",'Mapa final'!$A$23),"")</f>
        <v/>
      </c>
      <c r="AE22" s="236"/>
      <c r="AF22" s="241" t="str">
        <f>IF(AND('Mapa final'!$H$30="Media",'Mapa final'!$L$30="Mayor"),CONCATENATE("R",'Mapa final'!$A$30),"")</f>
        <v/>
      </c>
      <c r="AG22" s="238"/>
      <c r="AH22" s="258" t="str">
        <f>IF(AND('Mapa final'!$H$16="Media",'Mapa final'!$L$16="Catastrófico"),CONCATENATE("R",'Mapa final'!$A$16),"")</f>
        <v/>
      </c>
      <c r="AI22" s="236"/>
      <c r="AJ22" s="242" t="str">
        <f>IF(AND('Mapa final'!$H$23="Media",'Mapa final'!$L$23="Catastrófico"),CONCATENATE("R",'Mapa final'!$A$23),"")</f>
        <v/>
      </c>
      <c r="AK22" s="236"/>
      <c r="AL22" s="242" t="str">
        <f>IF(AND('Mapa final'!$H$30="Media",'Mapa final'!$L$30="Catastrófico"),CONCATENATE("R",'Mapa final'!$A$30),"")</f>
        <v/>
      </c>
      <c r="AM22" s="238"/>
      <c r="AN22" s="1"/>
      <c r="AO22" s="279" t="s">
        <v>100</v>
      </c>
      <c r="AP22" s="270"/>
      <c r="AQ22" s="270"/>
      <c r="AR22" s="270"/>
      <c r="AS22" s="270"/>
      <c r="AT22" s="271"/>
    </row>
    <row r="23" spans="2:46" ht="15.75" customHeight="1" x14ac:dyDescent="0.25">
      <c r="B23" s="263"/>
      <c r="C23" s="218"/>
      <c r="D23" s="219"/>
      <c r="E23" s="230"/>
      <c r="F23" s="218"/>
      <c r="G23" s="218"/>
      <c r="H23" s="218"/>
      <c r="I23" s="219"/>
      <c r="J23" s="240"/>
      <c r="K23" s="237"/>
      <c r="L23" s="233"/>
      <c r="M23" s="237"/>
      <c r="N23" s="233"/>
      <c r="O23" s="234"/>
      <c r="P23" s="240"/>
      <c r="Q23" s="237"/>
      <c r="R23" s="233"/>
      <c r="S23" s="237"/>
      <c r="T23" s="233"/>
      <c r="U23" s="234"/>
      <c r="V23" s="240"/>
      <c r="W23" s="237"/>
      <c r="X23" s="233"/>
      <c r="Y23" s="237"/>
      <c r="Z23" s="233"/>
      <c r="AA23" s="234"/>
      <c r="AB23" s="240"/>
      <c r="AC23" s="237"/>
      <c r="AD23" s="233"/>
      <c r="AE23" s="237"/>
      <c r="AF23" s="233"/>
      <c r="AG23" s="234"/>
      <c r="AH23" s="240"/>
      <c r="AI23" s="237"/>
      <c r="AJ23" s="233"/>
      <c r="AK23" s="237"/>
      <c r="AL23" s="233"/>
      <c r="AM23" s="234"/>
      <c r="AN23" s="1"/>
      <c r="AO23" s="272"/>
      <c r="AP23" s="218"/>
      <c r="AQ23" s="218"/>
      <c r="AR23" s="218"/>
      <c r="AS23" s="218"/>
      <c r="AT23" s="273"/>
    </row>
    <row r="24" spans="2:46" ht="15.75" customHeight="1" x14ac:dyDescent="0.25">
      <c r="B24" s="263"/>
      <c r="C24" s="218"/>
      <c r="D24" s="219"/>
      <c r="E24" s="230"/>
      <c r="F24" s="218"/>
      <c r="G24" s="218"/>
      <c r="H24" s="218"/>
      <c r="I24" s="219"/>
      <c r="J24" s="245" t="str">
        <f>IF(AND('Mapa final'!$H$37="Media",'Mapa final'!$L$37="Leve"),CONCATENATE("R",'Mapa final'!$A$37),"")</f>
        <v/>
      </c>
      <c r="K24" s="244"/>
      <c r="L24" s="231" t="str">
        <f>IF(AND('Mapa final'!$H$44="Media",'Mapa final'!$L$44="Leve"),CONCATENATE("R",'Mapa final'!$A$44),"")</f>
        <v/>
      </c>
      <c r="M24" s="244"/>
      <c r="N24" s="231" t="str">
        <f>IF(AND('Mapa final'!$H$51="Media",'Mapa final'!$L$51="Leve"),CONCATENATE("R",'Mapa final'!$A$51),"")</f>
        <v/>
      </c>
      <c r="O24" s="232"/>
      <c r="P24" s="245" t="str">
        <f>IF(AND('Mapa final'!$H$37="Media",'Mapa final'!$L$37="Menor"),CONCATENATE("R",'Mapa final'!$A$37),"")</f>
        <v/>
      </c>
      <c r="Q24" s="244"/>
      <c r="R24" s="231" t="str">
        <f>IF(AND('Mapa final'!$H$44="Media",'Mapa final'!$L$44="Menor"),CONCATENATE("R",'Mapa final'!$A$44),"")</f>
        <v/>
      </c>
      <c r="S24" s="244"/>
      <c r="T24" s="231" t="str">
        <f>IF(AND('Mapa final'!$H$51="Media",'Mapa final'!$L$51="Menor"),CONCATENATE("R",'Mapa final'!$A$51),"")</f>
        <v/>
      </c>
      <c r="U24" s="232"/>
      <c r="V24" s="245" t="str">
        <f>IF(AND('Mapa final'!$H$37="Media",'Mapa final'!$L$37="Moderado"),CONCATENATE("R",'Mapa final'!$A$37),"")</f>
        <v/>
      </c>
      <c r="W24" s="244"/>
      <c r="X24" s="231" t="str">
        <f>IF(AND('Mapa final'!$H$44="Media",'Mapa final'!$L$44="Moderado"),CONCATENATE("R",'Mapa final'!$A$44),"")</f>
        <v/>
      </c>
      <c r="Y24" s="244"/>
      <c r="Z24" s="231" t="str">
        <f>IF(AND('Mapa final'!$H$51="Media",'Mapa final'!$L$51="Moderado"),CONCATENATE("R",'Mapa final'!$A$51),"")</f>
        <v/>
      </c>
      <c r="AA24" s="232"/>
      <c r="AB24" s="246" t="str">
        <f>IF(AND('Mapa final'!$H$37="Media",'Mapa final'!$L$37="Mayor"),CONCATENATE("R",'Mapa final'!$A$37),"")</f>
        <v/>
      </c>
      <c r="AC24" s="244"/>
      <c r="AD24" s="247" t="str">
        <f>IF(AND('Mapa final'!$H$44="Media",'Mapa final'!$L$44="Mayor"),CONCATENATE("R",'Mapa final'!$A$44),"")</f>
        <v/>
      </c>
      <c r="AE24" s="244"/>
      <c r="AF24" s="247" t="str">
        <f>IF(AND('Mapa final'!$H$51="Media",'Mapa final'!$L$51="Mayor"),CONCATENATE("R",'Mapa final'!$A$51),"")</f>
        <v/>
      </c>
      <c r="AG24" s="232"/>
      <c r="AH24" s="248" t="str">
        <f>IF(AND('Mapa final'!$H$37="Media",'Mapa final'!$L$37="Catastrófico"),CONCATENATE("R",'Mapa final'!$A$37),"")</f>
        <v/>
      </c>
      <c r="AI24" s="244"/>
      <c r="AJ24" s="249" t="str">
        <f>IF(AND('Mapa final'!$H$44="Media",'Mapa final'!$L$44="Catastrófico"),CONCATENATE("R",'Mapa final'!$A$44),"")</f>
        <v/>
      </c>
      <c r="AK24" s="244"/>
      <c r="AL24" s="249" t="str">
        <f>IF(AND('Mapa final'!$H$51="Media",'Mapa final'!$L$51="Catastrófico"),CONCATENATE("R",'Mapa final'!$A$51),"")</f>
        <v/>
      </c>
      <c r="AM24" s="232"/>
      <c r="AN24" s="1"/>
      <c r="AO24" s="272"/>
      <c r="AP24" s="218"/>
      <c r="AQ24" s="218"/>
      <c r="AR24" s="218"/>
      <c r="AS24" s="218"/>
      <c r="AT24" s="273"/>
    </row>
    <row r="25" spans="2:46" ht="15.75" customHeight="1" x14ac:dyDescent="0.25">
      <c r="B25" s="263"/>
      <c r="C25" s="218"/>
      <c r="D25" s="219"/>
      <c r="E25" s="230"/>
      <c r="F25" s="218"/>
      <c r="G25" s="218"/>
      <c r="H25" s="218"/>
      <c r="I25" s="219"/>
      <c r="J25" s="240"/>
      <c r="K25" s="237"/>
      <c r="L25" s="233"/>
      <c r="M25" s="237"/>
      <c r="N25" s="233"/>
      <c r="O25" s="234"/>
      <c r="P25" s="240"/>
      <c r="Q25" s="237"/>
      <c r="R25" s="233"/>
      <c r="S25" s="237"/>
      <c r="T25" s="233"/>
      <c r="U25" s="234"/>
      <c r="V25" s="240"/>
      <c r="W25" s="237"/>
      <c r="X25" s="233"/>
      <c r="Y25" s="237"/>
      <c r="Z25" s="233"/>
      <c r="AA25" s="234"/>
      <c r="AB25" s="240"/>
      <c r="AC25" s="237"/>
      <c r="AD25" s="233"/>
      <c r="AE25" s="237"/>
      <c r="AF25" s="233"/>
      <c r="AG25" s="234"/>
      <c r="AH25" s="240"/>
      <c r="AI25" s="237"/>
      <c r="AJ25" s="233"/>
      <c r="AK25" s="237"/>
      <c r="AL25" s="233"/>
      <c r="AM25" s="234"/>
      <c r="AN25" s="1"/>
      <c r="AO25" s="272"/>
      <c r="AP25" s="218"/>
      <c r="AQ25" s="218"/>
      <c r="AR25" s="218"/>
      <c r="AS25" s="218"/>
      <c r="AT25" s="273"/>
    </row>
    <row r="26" spans="2:46" ht="15.75" customHeight="1" x14ac:dyDescent="0.25">
      <c r="B26" s="263"/>
      <c r="C26" s="218"/>
      <c r="D26" s="219"/>
      <c r="E26" s="230"/>
      <c r="F26" s="218"/>
      <c r="G26" s="218"/>
      <c r="H26" s="218"/>
      <c r="I26" s="219"/>
      <c r="J26" s="245" t="e">
        <f>IF(AND('Mapa final'!#REF!="Media",'Mapa final'!#REF!="Leve"),CONCATENATE("R",'Mapa final'!#REF!),"")</f>
        <v>#REF!</v>
      </c>
      <c r="K26" s="244"/>
      <c r="L26" s="231" t="e">
        <f>IF(AND('Mapa final'!#REF!="Media",'Mapa final'!#REF!="Leve"),CONCATENATE("R",'Mapa final'!#REF!),"")</f>
        <v>#REF!</v>
      </c>
      <c r="M26" s="244"/>
      <c r="N26" s="231" t="e">
        <f>IF(AND('Mapa final'!#REF!="Media",'Mapa final'!#REF!="Leve"),CONCATENATE("R",'Mapa final'!#REF!),"")</f>
        <v>#REF!</v>
      </c>
      <c r="O26" s="232"/>
      <c r="P26" s="245" t="e">
        <f>IF(AND('Mapa final'!#REF!="Media",'Mapa final'!#REF!="Menor"),CONCATENATE("R",'Mapa final'!#REF!),"")</f>
        <v>#REF!</v>
      </c>
      <c r="Q26" s="244"/>
      <c r="R26" s="231" t="e">
        <f>IF(AND('Mapa final'!#REF!="Media",'Mapa final'!#REF!="Menor"),CONCATENATE("R",'Mapa final'!#REF!),"")</f>
        <v>#REF!</v>
      </c>
      <c r="S26" s="244"/>
      <c r="T26" s="231" t="e">
        <f>IF(AND('Mapa final'!#REF!="Media",'Mapa final'!#REF!="Menor"),CONCATENATE("R",'Mapa final'!#REF!),"")</f>
        <v>#REF!</v>
      </c>
      <c r="U26" s="232"/>
      <c r="V26" s="245" t="e">
        <f>IF(AND('Mapa final'!#REF!="Media",'Mapa final'!#REF!="Moderado"),CONCATENATE("R",'Mapa final'!#REF!),"")</f>
        <v>#REF!</v>
      </c>
      <c r="W26" s="244"/>
      <c r="X26" s="231" t="e">
        <f>IF(AND('Mapa final'!#REF!="Media",'Mapa final'!#REF!="Moderado"),CONCATENATE("R",'Mapa final'!#REF!),"")</f>
        <v>#REF!</v>
      </c>
      <c r="Y26" s="244"/>
      <c r="Z26" s="231" t="e">
        <f>IF(AND('Mapa final'!#REF!="Media",'Mapa final'!#REF!="Moderado"),CONCATENATE("R",'Mapa final'!#REF!),"")</f>
        <v>#REF!</v>
      </c>
      <c r="AA26" s="232"/>
      <c r="AB26" s="246" t="e">
        <f>IF(AND('Mapa final'!#REF!="Media",'Mapa final'!#REF!="Mayor"),CONCATENATE("R",'Mapa final'!#REF!),"")</f>
        <v>#REF!</v>
      </c>
      <c r="AC26" s="244"/>
      <c r="AD26" s="247" t="e">
        <f>IF(AND('Mapa final'!#REF!="Media",'Mapa final'!#REF!="Mayor"),CONCATENATE("R",'Mapa final'!#REF!),"")</f>
        <v>#REF!</v>
      </c>
      <c r="AE26" s="244"/>
      <c r="AF26" s="247" t="e">
        <f>IF(AND('Mapa final'!#REF!="Media",'Mapa final'!#REF!="Mayor"),CONCATENATE("R",'Mapa final'!#REF!),"")</f>
        <v>#REF!</v>
      </c>
      <c r="AG26" s="232"/>
      <c r="AH26" s="248" t="e">
        <f>IF(AND('Mapa final'!#REF!="Media",'Mapa final'!#REF!="Catastrófico"),CONCATENATE("R",'Mapa final'!#REF!),"")</f>
        <v>#REF!</v>
      </c>
      <c r="AI26" s="244"/>
      <c r="AJ26" s="249" t="e">
        <f>IF(AND('Mapa final'!#REF!="Media",'Mapa final'!#REF!="Catastrófico"),CONCATENATE("R",'Mapa final'!#REF!),"")</f>
        <v>#REF!</v>
      </c>
      <c r="AK26" s="244"/>
      <c r="AL26" s="249" t="e">
        <f>IF(AND('Mapa final'!#REF!="Media",'Mapa final'!#REF!="Catastrófico"),CONCATENATE("R",'Mapa final'!#REF!),"")</f>
        <v>#REF!</v>
      </c>
      <c r="AM26" s="232"/>
      <c r="AN26" s="1"/>
      <c r="AO26" s="272"/>
      <c r="AP26" s="218"/>
      <c r="AQ26" s="218"/>
      <c r="AR26" s="218"/>
      <c r="AS26" s="218"/>
      <c r="AT26" s="273"/>
    </row>
    <row r="27" spans="2:46" ht="15.75" customHeight="1" x14ac:dyDescent="0.25">
      <c r="B27" s="263"/>
      <c r="C27" s="218"/>
      <c r="D27" s="219"/>
      <c r="E27" s="230"/>
      <c r="F27" s="218"/>
      <c r="G27" s="218"/>
      <c r="H27" s="218"/>
      <c r="I27" s="219"/>
      <c r="J27" s="240"/>
      <c r="K27" s="237"/>
      <c r="L27" s="233"/>
      <c r="M27" s="237"/>
      <c r="N27" s="233"/>
      <c r="O27" s="234"/>
      <c r="P27" s="240"/>
      <c r="Q27" s="237"/>
      <c r="R27" s="233"/>
      <c r="S27" s="237"/>
      <c r="T27" s="233"/>
      <c r="U27" s="234"/>
      <c r="V27" s="240"/>
      <c r="W27" s="237"/>
      <c r="X27" s="233"/>
      <c r="Y27" s="237"/>
      <c r="Z27" s="233"/>
      <c r="AA27" s="234"/>
      <c r="AB27" s="240"/>
      <c r="AC27" s="237"/>
      <c r="AD27" s="233"/>
      <c r="AE27" s="237"/>
      <c r="AF27" s="233"/>
      <c r="AG27" s="234"/>
      <c r="AH27" s="240"/>
      <c r="AI27" s="237"/>
      <c r="AJ27" s="233"/>
      <c r="AK27" s="237"/>
      <c r="AL27" s="233"/>
      <c r="AM27" s="234"/>
      <c r="AN27" s="1"/>
      <c r="AO27" s="272"/>
      <c r="AP27" s="218"/>
      <c r="AQ27" s="218"/>
      <c r="AR27" s="218"/>
      <c r="AS27" s="218"/>
      <c r="AT27" s="273"/>
    </row>
    <row r="28" spans="2:46" ht="15.75" customHeight="1" x14ac:dyDescent="0.25">
      <c r="B28" s="263"/>
      <c r="C28" s="218"/>
      <c r="D28" s="219"/>
      <c r="E28" s="230"/>
      <c r="F28" s="218"/>
      <c r="G28" s="218"/>
      <c r="H28" s="218"/>
      <c r="I28" s="219"/>
      <c r="J28" s="245" t="e">
        <f>IF(AND('Mapa final'!#REF!="Media",'Mapa final'!#REF!="Leve"),CONCATENATE("R",'Mapa final'!#REF!),"")</f>
        <v>#REF!</v>
      </c>
      <c r="K28" s="244"/>
      <c r="L28" s="231" t="e">
        <f>IF(AND('Mapa final'!#REF!="Media",'Mapa final'!#REF!="Leve"),CONCATENATE("R",'Mapa final'!#REF!),"")</f>
        <v>#REF!</v>
      </c>
      <c r="M28" s="244"/>
      <c r="N28" s="231" t="str">
        <f>IF(AND('Mapa final'!$H$134="Media",'Mapa final'!$L$134="Leve"),CONCATENATE("R",'Mapa final'!$A$134),"")</f>
        <v/>
      </c>
      <c r="O28" s="232"/>
      <c r="P28" s="245" t="e">
        <f>IF(AND('Mapa final'!#REF!="Media",'Mapa final'!#REF!="Menor"),CONCATENATE("R",'Mapa final'!#REF!),"")</f>
        <v>#REF!</v>
      </c>
      <c r="Q28" s="244"/>
      <c r="R28" s="231" t="e">
        <f>IF(AND('Mapa final'!#REF!="Media",'Mapa final'!#REF!="Menor"),CONCATENATE("R",'Mapa final'!#REF!),"")</f>
        <v>#REF!</v>
      </c>
      <c r="S28" s="244"/>
      <c r="T28" s="231" t="str">
        <f>IF(AND('Mapa final'!$H$134="Media",'Mapa final'!$L$134="Menor"),CONCATENATE("R",'Mapa final'!$A$134),"")</f>
        <v/>
      </c>
      <c r="U28" s="232"/>
      <c r="V28" s="245" t="e">
        <f>IF(AND('Mapa final'!#REF!="Media",'Mapa final'!#REF!="Moderado"),CONCATENATE("R",'Mapa final'!#REF!),"")</f>
        <v>#REF!</v>
      </c>
      <c r="W28" s="244"/>
      <c r="X28" s="231" t="e">
        <f>IF(AND('Mapa final'!#REF!="Media",'Mapa final'!#REF!="Moderado"),CONCATENATE("R",'Mapa final'!#REF!),"")</f>
        <v>#REF!</v>
      </c>
      <c r="Y28" s="244"/>
      <c r="Z28" s="231" t="str">
        <f>IF(AND('Mapa final'!$H$134="Media",'Mapa final'!$L$134="Moderado"),CONCATENATE("R",'Mapa final'!$A$134),"")</f>
        <v/>
      </c>
      <c r="AA28" s="232"/>
      <c r="AB28" s="246" t="e">
        <f>IF(AND('Mapa final'!#REF!="Media",'Mapa final'!#REF!="Mayor"),CONCATENATE("R",'Mapa final'!#REF!),"")</f>
        <v>#REF!</v>
      </c>
      <c r="AC28" s="244"/>
      <c r="AD28" s="247" t="e">
        <f>IF(AND('Mapa final'!#REF!="Media",'Mapa final'!#REF!="Mayor"),CONCATENATE("R",'Mapa final'!#REF!),"")</f>
        <v>#REF!</v>
      </c>
      <c r="AE28" s="244"/>
      <c r="AF28" s="247" t="str">
        <f>IF(AND('Mapa final'!$H$134="Media",'Mapa final'!$L$134="Mayor"),CONCATENATE("R",'Mapa final'!$A$134),"")</f>
        <v/>
      </c>
      <c r="AG28" s="232"/>
      <c r="AH28" s="248" t="e">
        <f>IF(AND('Mapa final'!#REF!="Media",'Mapa final'!#REF!="Catastrófico"),CONCATENATE("R",'Mapa final'!#REF!),"")</f>
        <v>#REF!</v>
      </c>
      <c r="AI28" s="244"/>
      <c r="AJ28" s="249" t="e">
        <f>IF(AND('Mapa final'!#REF!="Media",'Mapa final'!#REF!="Catastrófico"),CONCATENATE("R",'Mapa final'!#REF!),"")</f>
        <v>#REF!</v>
      </c>
      <c r="AK28" s="244"/>
      <c r="AL28" s="249" t="str">
        <f>IF(AND('Mapa final'!$H$134="Media",'Mapa final'!$L$134="Catastrófico"),CONCATENATE("R",'Mapa final'!$A$134),"")</f>
        <v/>
      </c>
      <c r="AM28" s="232"/>
      <c r="AN28" s="1"/>
      <c r="AO28" s="272"/>
      <c r="AP28" s="218"/>
      <c r="AQ28" s="218"/>
      <c r="AR28" s="218"/>
      <c r="AS28" s="218"/>
      <c r="AT28" s="273"/>
    </row>
    <row r="29" spans="2:46" ht="15.75" customHeight="1" x14ac:dyDescent="0.25">
      <c r="B29" s="263"/>
      <c r="C29" s="218"/>
      <c r="D29" s="219"/>
      <c r="E29" s="253"/>
      <c r="F29" s="254"/>
      <c r="G29" s="254"/>
      <c r="H29" s="254"/>
      <c r="I29" s="257"/>
      <c r="J29" s="240"/>
      <c r="K29" s="237"/>
      <c r="L29" s="233"/>
      <c r="M29" s="237"/>
      <c r="N29" s="233"/>
      <c r="O29" s="234"/>
      <c r="P29" s="253"/>
      <c r="Q29" s="255"/>
      <c r="R29" s="256"/>
      <c r="S29" s="255"/>
      <c r="T29" s="256"/>
      <c r="U29" s="257"/>
      <c r="V29" s="253"/>
      <c r="W29" s="255"/>
      <c r="X29" s="256"/>
      <c r="Y29" s="255"/>
      <c r="Z29" s="256"/>
      <c r="AA29" s="257"/>
      <c r="AB29" s="253"/>
      <c r="AC29" s="255"/>
      <c r="AD29" s="256"/>
      <c r="AE29" s="255"/>
      <c r="AF29" s="256"/>
      <c r="AG29" s="257"/>
      <c r="AH29" s="253"/>
      <c r="AI29" s="255"/>
      <c r="AJ29" s="256"/>
      <c r="AK29" s="255"/>
      <c r="AL29" s="256"/>
      <c r="AM29" s="257"/>
      <c r="AN29" s="1"/>
      <c r="AO29" s="274"/>
      <c r="AP29" s="275"/>
      <c r="AQ29" s="275"/>
      <c r="AR29" s="275"/>
      <c r="AS29" s="275"/>
      <c r="AT29" s="276"/>
    </row>
    <row r="30" spans="2:46" ht="15.75" customHeight="1" x14ac:dyDescent="0.25">
      <c r="B30" s="263"/>
      <c r="C30" s="218"/>
      <c r="D30" s="219"/>
      <c r="E30" s="251" t="s">
        <v>101</v>
      </c>
      <c r="F30" s="252"/>
      <c r="G30" s="252"/>
      <c r="H30" s="252"/>
      <c r="I30" s="252"/>
      <c r="J30" s="268" t="str">
        <f>IF(AND('Mapa final'!$H$16="Baja",'Mapa final'!$L$16="Leve"),CONCATENATE("R",'Mapa final'!$A$16),"")</f>
        <v/>
      </c>
      <c r="K30" s="236"/>
      <c r="L30" s="267" t="str">
        <f>IF(AND('Mapa final'!$H$23="Baja",'Mapa final'!$L$23="Leve"),CONCATENATE("R",'Mapa final'!$A$23),"")</f>
        <v/>
      </c>
      <c r="M30" s="236"/>
      <c r="N30" s="267" t="str">
        <f>IF(AND('Mapa final'!$H$30="Baja",'Mapa final'!$L$30="Leve"),CONCATENATE("R",'Mapa final'!$A$30),"")</f>
        <v/>
      </c>
      <c r="O30" s="238"/>
      <c r="P30" s="235" t="str">
        <f>IF(AND('Mapa final'!$H$16="Baja",'Mapa final'!$L$16="Menor"),CONCATENATE("R",'Mapa final'!$A$16),"")</f>
        <v/>
      </c>
      <c r="Q30" s="236"/>
      <c r="R30" s="235" t="str">
        <f>IF(AND('Mapa final'!$H$23="Baja",'Mapa final'!$L$23="Menor"),CONCATENATE("R",'Mapa final'!$A$23),"")</f>
        <v/>
      </c>
      <c r="S30" s="236"/>
      <c r="T30" s="235" t="str">
        <f>IF(AND('Mapa final'!$H$30="Baja",'Mapa final'!$L$30="Menor"),CONCATENATE("R",'Mapa final'!$A$30),"")</f>
        <v/>
      </c>
      <c r="U30" s="238"/>
      <c r="V30" s="250" t="str">
        <f>IF(AND('Mapa final'!$H$16="Baja",'Mapa final'!$L$16="Moderado"),CONCATENATE("R",'Mapa final'!$A$16),"")</f>
        <v/>
      </c>
      <c r="W30" s="236"/>
      <c r="X30" s="235" t="str">
        <f>IF(AND('Mapa final'!$H$23="Baja",'Mapa final'!$L$23="Moderado"),CONCATENATE("R",'Mapa final'!$A$23),"")</f>
        <v/>
      </c>
      <c r="Y30" s="236"/>
      <c r="Z30" s="235" t="str">
        <f>IF(AND('Mapa final'!$H$30="Baja",'Mapa final'!$L$30="Moderado"),CONCATENATE("R",'Mapa final'!$A$30),"")</f>
        <v/>
      </c>
      <c r="AA30" s="238"/>
      <c r="AB30" s="239" t="str">
        <f>IF(AND('Mapa final'!$H$16="Baja",'Mapa final'!$L$16="Mayor"),CONCATENATE("R",'Mapa final'!$A$16),"")</f>
        <v/>
      </c>
      <c r="AC30" s="236"/>
      <c r="AD30" s="241" t="str">
        <f>IF(AND('Mapa final'!$H$23="Baja",'Mapa final'!$L$23="Mayor"),CONCATENATE("R",'Mapa final'!$A$23),"")</f>
        <v/>
      </c>
      <c r="AE30" s="236"/>
      <c r="AF30" s="241" t="str">
        <f>IF(AND('Mapa final'!$H$30="Baja",'Mapa final'!$L$30="Mayor"),CONCATENATE("R",'Mapa final'!$A$30),"")</f>
        <v/>
      </c>
      <c r="AG30" s="238"/>
      <c r="AH30" s="258" t="str">
        <f>IF(AND('Mapa final'!$H$16="Baja",'Mapa final'!$L$16="Catastrófico"),CONCATENATE("R",'Mapa final'!$A$16),"")</f>
        <v/>
      </c>
      <c r="AI30" s="236"/>
      <c r="AJ30" s="242" t="str">
        <f>IF(AND('Mapa final'!$H$23="Baja",'Mapa final'!$L$23="Catastrófico"),CONCATENATE("R",'Mapa final'!$A$23),"")</f>
        <v/>
      </c>
      <c r="AK30" s="236"/>
      <c r="AL30" s="242" t="str">
        <f>IF(AND('Mapa final'!$H$30="Baja",'Mapa final'!$L$30="Catastrófico"),CONCATENATE("R",'Mapa final'!$A$30),"")</f>
        <v/>
      </c>
      <c r="AM30" s="238"/>
      <c r="AN30" s="1"/>
      <c r="AO30" s="277" t="s">
        <v>102</v>
      </c>
      <c r="AP30" s="270"/>
      <c r="AQ30" s="270"/>
      <c r="AR30" s="270"/>
      <c r="AS30" s="270"/>
      <c r="AT30" s="271"/>
    </row>
    <row r="31" spans="2:46" ht="15.75" customHeight="1" x14ac:dyDescent="0.25">
      <c r="B31" s="263"/>
      <c r="C31" s="218"/>
      <c r="D31" s="219"/>
      <c r="E31" s="230"/>
      <c r="F31" s="218"/>
      <c r="G31" s="218"/>
      <c r="H31" s="218"/>
      <c r="I31" s="218"/>
      <c r="J31" s="240"/>
      <c r="K31" s="237"/>
      <c r="L31" s="233"/>
      <c r="M31" s="237"/>
      <c r="N31" s="233"/>
      <c r="O31" s="234"/>
      <c r="P31" s="233"/>
      <c r="Q31" s="237"/>
      <c r="R31" s="233"/>
      <c r="S31" s="237"/>
      <c r="T31" s="233"/>
      <c r="U31" s="234"/>
      <c r="V31" s="240"/>
      <c r="W31" s="237"/>
      <c r="X31" s="233"/>
      <c r="Y31" s="237"/>
      <c r="Z31" s="233"/>
      <c r="AA31" s="234"/>
      <c r="AB31" s="240"/>
      <c r="AC31" s="237"/>
      <c r="AD31" s="233"/>
      <c r="AE31" s="237"/>
      <c r="AF31" s="233"/>
      <c r="AG31" s="234"/>
      <c r="AH31" s="240"/>
      <c r="AI31" s="237"/>
      <c r="AJ31" s="233"/>
      <c r="AK31" s="237"/>
      <c r="AL31" s="233"/>
      <c r="AM31" s="234"/>
      <c r="AN31" s="1"/>
      <c r="AO31" s="272"/>
      <c r="AP31" s="218"/>
      <c r="AQ31" s="218"/>
      <c r="AR31" s="218"/>
      <c r="AS31" s="218"/>
      <c r="AT31" s="273"/>
    </row>
    <row r="32" spans="2:46" ht="15.75" customHeight="1" x14ac:dyDescent="0.25">
      <c r="B32" s="263"/>
      <c r="C32" s="218"/>
      <c r="D32" s="219"/>
      <c r="E32" s="230"/>
      <c r="F32" s="218"/>
      <c r="G32" s="218"/>
      <c r="H32" s="218"/>
      <c r="I32" s="218"/>
      <c r="J32" s="259" t="str">
        <f>IF(AND('Mapa final'!$H$37="Baja",'Mapa final'!$L$37="Leve"),CONCATENATE("R",'Mapa final'!$A$37),"")</f>
        <v/>
      </c>
      <c r="K32" s="244"/>
      <c r="L32" s="243" t="str">
        <f>IF(AND('Mapa final'!$H$44="Baja",'Mapa final'!$L$44="Leve"),CONCATENATE("R",'Mapa final'!$A$44),"")</f>
        <v/>
      </c>
      <c r="M32" s="244"/>
      <c r="N32" s="243" t="str">
        <f>IF(AND('Mapa final'!$H$51="Baja",'Mapa final'!$L$51="Leve"),CONCATENATE("R",'Mapa final'!$A$51),"")</f>
        <v/>
      </c>
      <c r="O32" s="232"/>
      <c r="P32" s="231" t="str">
        <f>IF(AND('Mapa final'!$H$37="Baja",'Mapa final'!$L$37="Menor"),CONCATENATE("R",'Mapa final'!$A$37),"")</f>
        <v/>
      </c>
      <c r="Q32" s="244"/>
      <c r="R32" s="231" t="str">
        <f>IF(AND('Mapa final'!$H$44="Baja",'Mapa final'!$L$44="Menor"),CONCATENATE("R",'Mapa final'!$A$44),"")</f>
        <v>R5</v>
      </c>
      <c r="S32" s="244"/>
      <c r="T32" s="231" t="str">
        <f>IF(AND('Mapa final'!$H$51="Baja",'Mapa final'!$L$51="Menor"),CONCATENATE("R",'Mapa final'!$A$51),"")</f>
        <v/>
      </c>
      <c r="U32" s="232"/>
      <c r="V32" s="245" t="str">
        <f>IF(AND('Mapa final'!$H$37="Baja",'Mapa final'!$L$37="Moderado"),CONCATENATE("R",'Mapa final'!$A$37),"")</f>
        <v/>
      </c>
      <c r="W32" s="244"/>
      <c r="X32" s="231" t="str">
        <f>IF(AND('Mapa final'!$H$44="Baja",'Mapa final'!$L$44="Moderado"),CONCATENATE("R",'Mapa final'!$A$44),"")</f>
        <v/>
      </c>
      <c r="Y32" s="244"/>
      <c r="Z32" s="231" t="str">
        <f>IF(AND('Mapa final'!$H$51="Baja",'Mapa final'!$L$51="Moderado"),CONCATENATE("R",'Mapa final'!$A$51),"")</f>
        <v/>
      </c>
      <c r="AA32" s="232"/>
      <c r="AB32" s="246" t="str">
        <f>IF(AND('Mapa final'!$H$37="Baja",'Mapa final'!$L$37="Mayor"),CONCATENATE("R",'Mapa final'!$A$37),"")</f>
        <v/>
      </c>
      <c r="AC32" s="244"/>
      <c r="AD32" s="247" t="str">
        <f>IF(AND('Mapa final'!$H$44="Baja",'Mapa final'!$L$44="Mayor"),CONCATENATE("R",'Mapa final'!$A$44),"")</f>
        <v/>
      </c>
      <c r="AE32" s="244"/>
      <c r="AF32" s="247" t="str">
        <f>IF(AND('Mapa final'!$H$51="Baja",'Mapa final'!$L$51="Mayor"),CONCATENATE("R",'Mapa final'!$A$51),"")</f>
        <v/>
      </c>
      <c r="AG32" s="232"/>
      <c r="AH32" s="248" t="str">
        <f>IF(AND('Mapa final'!$H$37="Baja",'Mapa final'!$L$37="Catastrófico"),CONCATENATE("R",'Mapa final'!$A$37),"")</f>
        <v/>
      </c>
      <c r="AI32" s="244"/>
      <c r="AJ32" s="249" t="str">
        <f>IF(AND('Mapa final'!$H$44="Baja",'Mapa final'!$L$44="Catastrófico"),CONCATENATE("R",'Mapa final'!$A$44),"")</f>
        <v/>
      </c>
      <c r="AK32" s="244"/>
      <c r="AL32" s="249" t="str">
        <f>IF(AND('Mapa final'!$H$51="Baja",'Mapa final'!$L$51="Catastrófico"),CONCATENATE("R",'Mapa final'!$A$51),"")</f>
        <v/>
      </c>
      <c r="AM32" s="232"/>
      <c r="AN32" s="1"/>
      <c r="AO32" s="272"/>
      <c r="AP32" s="218"/>
      <c r="AQ32" s="218"/>
      <c r="AR32" s="218"/>
      <c r="AS32" s="218"/>
      <c r="AT32" s="273"/>
    </row>
    <row r="33" spans="2:46" ht="15.75" customHeight="1" x14ac:dyDescent="0.25">
      <c r="B33" s="263"/>
      <c r="C33" s="218"/>
      <c r="D33" s="219"/>
      <c r="E33" s="230"/>
      <c r="F33" s="218"/>
      <c r="G33" s="218"/>
      <c r="H33" s="218"/>
      <c r="I33" s="218"/>
      <c r="J33" s="240"/>
      <c r="K33" s="237"/>
      <c r="L33" s="233"/>
      <c r="M33" s="237"/>
      <c r="N33" s="233"/>
      <c r="O33" s="234"/>
      <c r="P33" s="233"/>
      <c r="Q33" s="237"/>
      <c r="R33" s="233"/>
      <c r="S33" s="237"/>
      <c r="T33" s="233"/>
      <c r="U33" s="234"/>
      <c r="V33" s="240"/>
      <c r="W33" s="237"/>
      <c r="X33" s="233"/>
      <c r="Y33" s="237"/>
      <c r="Z33" s="233"/>
      <c r="AA33" s="234"/>
      <c r="AB33" s="240"/>
      <c r="AC33" s="237"/>
      <c r="AD33" s="233"/>
      <c r="AE33" s="237"/>
      <c r="AF33" s="233"/>
      <c r="AG33" s="234"/>
      <c r="AH33" s="240"/>
      <c r="AI33" s="237"/>
      <c r="AJ33" s="233"/>
      <c r="AK33" s="237"/>
      <c r="AL33" s="233"/>
      <c r="AM33" s="234"/>
      <c r="AN33" s="1"/>
      <c r="AO33" s="272"/>
      <c r="AP33" s="218"/>
      <c r="AQ33" s="218"/>
      <c r="AR33" s="218"/>
      <c r="AS33" s="218"/>
      <c r="AT33" s="273"/>
    </row>
    <row r="34" spans="2:46" ht="15.75" customHeight="1" x14ac:dyDescent="0.25">
      <c r="B34" s="263"/>
      <c r="C34" s="218"/>
      <c r="D34" s="219"/>
      <c r="E34" s="230"/>
      <c r="F34" s="218"/>
      <c r="G34" s="218"/>
      <c r="H34" s="218"/>
      <c r="I34" s="218"/>
      <c r="J34" s="259" t="e">
        <f>IF(AND('Mapa final'!#REF!="Baja",'Mapa final'!#REF!="Leve"),CONCATENATE("R",'Mapa final'!#REF!),"")</f>
        <v>#REF!</v>
      </c>
      <c r="K34" s="244"/>
      <c r="L34" s="243" t="e">
        <f>IF(AND('Mapa final'!#REF!="Baja",'Mapa final'!#REF!="Leve"),CONCATENATE("R",'Mapa final'!#REF!),"")</f>
        <v>#REF!</v>
      </c>
      <c r="M34" s="244"/>
      <c r="N34" s="243" t="e">
        <f>IF(AND('Mapa final'!#REF!="Baja",'Mapa final'!#REF!="Leve"),CONCATENATE("R",'Mapa final'!#REF!),"")</f>
        <v>#REF!</v>
      </c>
      <c r="O34" s="232"/>
      <c r="P34" s="231" t="e">
        <f>IF(AND('Mapa final'!#REF!="Baja",'Mapa final'!#REF!="Menor"),CONCATENATE("R",'Mapa final'!#REF!),"")</f>
        <v>#REF!</v>
      </c>
      <c r="Q34" s="244"/>
      <c r="R34" s="231" t="e">
        <f>IF(AND('Mapa final'!#REF!="Baja",'Mapa final'!#REF!="Menor"),CONCATENATE("R",'Mapa final'!#REF!),"")</f>
        <v>#REF!</v>
      </c>
      <c r="S34" s="244"/>
      <c r="T34" s="231" t="e">
        <f>IF(AND('Mapa final'!#REF!="Baja",'Mapa final'!#REF!="Menor"),CONCATENATE("R",'Mapa final'!#REF!),"")</f>
        <v>#REF!</v>
      </c>
      <c r="U34" s="232"/>
      <c r="V34" s="245" t="e">
        <f>IF(AND('Mapa final'!#REF!="Baja",'Mapa final'!#REF!="Moderado"),CONCATENATE("R",'Mapa final'!#REF!),"")</f>
        <v>#REF!</v>
      </c>
      <c r="W34" s="244"/>
      <c r="X34" s="231" t="e">
        <f>IF(AND('Mapa final'!#REF!="Baja",'Mapa final'!#REF!="Moderado"),CONCATENATE("R",'Mapa final'!#REF!),"")</f>
        <v>#REF!</v>
      </c>
      <c r="Y34" s="244"/>
      <c r="Z34" s="231" t="e">
        <f>IF(AND('Mapa final'!#REF!="Baja",'Mapa final'!#REF!="Moderado"),CONCATENATE("R",'Mapa final'!#REF!),"")</f>
        <v>#REF!</v>
      </c>
      <c r="AA34" s="232"/>
      <c r="AB34" s="246" t="e">
        <f>IF(AND('Mapa final'!#REF!="Baja",'Mapa final'!#REF!="Mayor"),CONCATENATE("R",'Mapa final'!#REF!),"")</f>
        <v>#REF!</v>
      </c>
      <c r="AC34" s="244"/>
      <c r="AD34" s="247" t="e">
        <f>IF(AND('Mapa final'!#REF!="Baja",'Mapa final'!#REF!="Mayor"),CONCATENATE("R",'Mapa final'!#REF!),"")</f>
        <v>#REF!</v>
      </c>
      <c r="AE34" s="244"/>
      <c r="AF34" s="247" t="e">
        <f>IF(AND('Mapa final'!#REF!="Baja",'Mapa final'!#REF!="Mayor"),CONCATENATE("R",'Mapa final'!#REF!),"")</f>
        <v>#REF!</v>
      </c>
      <c r="AG34" s="232"/>
      <c r="AH34" s="248" t="e">
        <f>IF(AND('Mapa final'!#REF!="Baja",'Mapa final'!#REF!="Catastrófico"),CONCATENATE("R",'Mapa final'!#REF!),"")</f>
        <v>#REF!</v>
      </c>
      <c r="AI34" s="244"/>
      <c r="AJ34" s="249" t="e">
        <f>IF(AND('Mapa final'!#REF!="Baja",'Mapa final'!#REF!="Catastrófico"),CONCATENATE("R",'Mapa final'!#REF!),"")</f>
        <v>#REF!</v>
      </c>
      <c r="AK34" s="244"/>
      <c r="AL34" s="249" t="e">
        <f>IF(AND('Mapa final'!#REF!="Baja",'Mapa final'!#REF!="Catastrófico"),CONCATENATE("R",'Mapa final'!#REF!),"")</f>
        <v>#REF!</v>
      </c>
      <c r="AM34" s="232"/>
      <c r="AN34" s="1"/>
      <c r="AO34" s="272"/>
      <c r="AP34" s="218"/>
      <c r="AQ34" s="218"/>
      <c r="AR34" s="218"/>
      <c r="AS34" s="218"/>
      <c r="AT34" s="273"/>
    </row>
    <row r="35" spans="2:46" ht="15.75" customHeight="1" x14ac:dyDescent="0.25">
      <c r="B35" s="263"/>
      <c r="C35" s="218"/>
      <c r="D35" s="219"/>
      <c r="E35" s="230"/>
      <c r="F35" s="218"/>
      <c r="G35" s="218"/>
      <c r="H35" s="218"/>
      <c r="I35" s="218"/>
      <c r="J35" s="240"/>
      <c r="K35" s="237"/>
      <c r="L35" s="233"/>
      <c r="M35" s="237"/>
      <c r="N35" s="233"/>
      <c r="O35" s="234"/>
      <c r="P35" s="233"/>
      <c r="Q35" s="237"/>
      <c r="R35" s="233"/>
      <c r="S35" s="237"/>
      <c r="T35" s="233"/>
      <c r="U35" s="234"/>
      <c r="V35" s="240"/>
      <c r="W35" s="237"/>
      <c r="X35" s="233"/>
      <c r="Y35" s="237"/>
      <c r="Z35" s="233"/>
      <c r="AA35" s="234"/>
      <c r="AB35" s="240"/>
      <c r="AC35" s="237"/>
      <c r="AD35" s="233"/>
      <c r="AE35" s="237"/>
      <c r="AF35" s="233"/>
      <c r="AG35" s="234"/>
      <c r="AH35" s="240"/>
      <c r="AI35" s="237"/>
      <c r="AJ35" s="233"/>
      <c r="AK35" s="237"/>
      <c r="AL35" s="233"/>
      <c r="AM35" s="234"/>
      <c r="AN35" s="1"/>
      <c r="AO35" s="272"/>
      <c r="AP35" s="218"/>
      <c r="AQ35" s="218"/>
      <c r="AR35" s="218"/>
      <c r="AS35" s="218"/>
      <c r="AT35" s="273"/>
    </row>
    <row r="36" spans="2:46" ht="15.75" customHeight="1" x14ac:dyDescent="0.25">
      <c r="B36" s="263"/>
      <c r="C36" s="218"/>
      <c r="D36" s="219"/>
      <c r="E36" s="230"/>
      <c r="F36" s="218"/>
      <c r="G36" s="218"/>
      <c r="H36" s="218"/>
      <c r="I36" s="218"/>
      <c r="J36" s="259" t="e">
        <f>IF(AND('Mapa final'!#REF!="Baja",'Mapa final'!#REF!="Leve"),CONCATENATE("R",'Mapa final'!#REF!),"")</f>
        <v>#REF!</v>
      </c>
      <c r="K36" s="244"/>
      <c r="L36" s="243" t="e">
        <f>IF(AND('Mapa final'!#REF!="Baja",'Mapa final'!#REF!="Leve"),CONCATENATE("R",'Mapa final'!#REF!),"")</f>
        <v>#REF!</v>
      </c>
      <c r="M36" s="244"/>
      <c r="N36" s="243" t="str">
        <f>IF(AND('Mapa final'!$H$134="Baja",'Mapa final'!$L$134="Leve"),CONCATENATE("R",'Mapa final'!$A$134),"")</f>
        <v/>
      </c>
      <c r="O36" s="232"/>
      <c r="P36" s="231" t="e">
        <f>IF(AND('Mapa final'!#REF!="Baja",'Mapa final'!#REF!="Menor"),CONCATENATE("R",'Mapa final'!#REF!),"")</f>
        <v>#REF!</v>
      </c>
      <c r="Q36" s="244"/>
      <c r="R36" s="231" t="e">
        <f>IF(AND('Mapa final'!#REF!="Baja",'Mapa final'!#REF!="Menor"),CONCATENATE("R",'Mapa final'!#REF!),"")</f>
        <v>#REF!</v>
      </c>
      <c r="S36" s="244"/>
      <c r="T36" s="231" t="str">
        <f>IF(AND('Mapa final'!$H$134="Baja",'Mapa final'!$L$134="Menor"),CONCATENATE("R",'Mapa final'!$A$134),"")</f>
        <v/>
      </c>
      <c r="U36" s="232"/>
      <c r="V36" s="245" t="e">
        <f>IF(AND('Mapa final'!#REF!="Baja",'Mapa final'!#REF!="Moderado"),CONCATENATE("R",'Mapa final'!#REF!),"")</f>
        <v>#REF!</v>
      </c>
      <c r="W36" s="244"/>
      <c r="X36" s="231" t="e">
        <f>IF(AND('Mapa final'!#REF!="Baja",'Mapa final'!#REF!="Moderado"),CONCATENATE("R",'Mapa final'!#REF!),"")</f>
        <v>#REF!</v>
      </c>
      <c r="Y36" s="244"/>
      <c r="Z36" s="231" t="str">
        <f>IF(AND('Mapa final'!$H$134="Baja",'Mapa final'!$L$134="Moderado"),CONCATENATE("R",'Mapa final'!$A$134),"")</f>
        <v/>
      </c>
      <c r="AA36" s="232"/>
      <c r="AB36" s="246" t="e">
        <f>IF(AND('Mapa final'!#REF!="Baja",'Mapa final'!#REF!="Mayor"),CONCATENATE("R",'Mapa final'!#REF!),"")</f>
        <v>#REF!</v>
      </c>
      <c r="AC36" s="244"/>
      <c r="AD36" s="247" t="e">
        <f>IF(AND('Mapa final'!#REF!="Baja",'Mapa final'!#REF!="Mayor"),CONCATENATE("R",'Mapa final'!#REF!),"")</f>
        <v>#REF!</v>
      </c>
      <c r="AE36" s="244"/>
      <c r="AF36" s="247" t="str">
        <f>IF(AND('Mapa final'!$H$134="Baja",'Mapa final'!$L$134="Mayor"),CONCATENATE("R",'Mapa final'!$A$134),"")</f>
        <v/>
      </c>
      <c r="AG36" s="232"/>
      <c r="AH36" s="248" t="e">
        <f>IF(AND('Mapa final'!#REF!="Baja",'Mapa final'!#REF!="Catastrófico"),CONCATENATE("R",'Mapa final'!#REF!),"")</f>
        <v>#REF!</v>
      </c>
      <c r="AI36" s="244"/>
      <c r="AJ36" s="249" t="e">
        <f>IF(AND('Mapa final'!#REF!="Baja",'Mapa final'!#REF!="Catastrófico"),CONCATENATE("R",'Mapa final'!#REF!),"")</f>
        <v>#REF!</v>
      </c>
      <c r="AK36" s="244"/>
      <c r="AL36" s="249" t="str">
        <f>IF(AND('Mapa final'!$H$134="Baja",'Mapa final'!$L$134="Catastrófico"),CONCATENATE("R",'Mapa final'!$A$134),"")</f>
        <v/>
      </c>
      <c r="AM36" s="232"/>
      <c r="AN36" s="1"/>
      <c r="AO36" s="272"/>
      <c r="AP36" s="218"/>
      <c r="AQ36" s="218"/>
      <c r="AR36" s="218"/>
      <c r="AS36" s="218"/>
      <c r="AT36" s="273"/>
    </row>
    <row r="37" spans="2:46" ht="15.75" customHeight="1" x14ac:dyDescent="0.25">
      <c r="B37" s="263"/>
      <c r="C37" s="218"/>
      <c r="D37" s="219"/>
      <c r="E37" s="253"/>
      <c r="F37" s="254"/>
      <c r="G37" s="254"/>
      <c r="H37" s="254"/>
      <c r="I37" s="254"/>
      <c r="J37" s="253"/>
      <c r="K37" s="255"/>
      <c r="L37" s="256"/>
      <c r="M37" s="255"/>
      <c r="N37" s="256"/>
      <c r="O37" s="257"/>
      <c r="P37" s="256"/>
      <c r="Q37" s="255"/>
      <c r="R37" s="256"/>
      <c r="S37" s="255"/>
      <c r="T37" s="256"/>
      <c r="U37" s="257"/>
      <c r="V37" s="253"/>
      <c r="W37" s="255"/>
      <c r="X37" s="256"/>
      <c r="Y37" s="255"/>
      <c r="Z37" s="256"/>
      <c r="AA37" s="257"/>
      <c r="AB37" s="253"/>
      <c r="AC37" s="255"/>
      <c r="AD37" s="256"/>
      <c r="AE37" s="255"/>
      <c r="AF37" s="256"/>
      <c r="AG37" s="257"/>
      <c r="AH37" s="253"/>
      <c r="AI37" s="255"/>
      <c r="AJ37" s="256"/>
      <c r="AK37" s="255"/>
      <c r="AL37" s="256"/>
      <c r="AM37" s="257"/>
      <c r="AN37" s="1"/>
      <c r="AO37" s="274"/>
      <c r="AP37" s="275"/>
      <c r="AQ37" s="275"/>
      <c r="AR37" s="275"/>
      <c r="AS37" s="275"/>
      <c r="AT37" s="276"/>
    </row>
    <row r="38" spans="2:46" ht="15.75" customHeight="1" x14ac:dyDescent="0.25">
      <c r="B38" s="263"/>
      <c r="C38" s="218"/>
      <c r="D38" s="219"/>
      <c r="E38" s="251" t="s">
        <v>103</v>
      </c>
      <c r="F38" s="252"/>
      <c r="G38" s="252"/>
      <c r="H38" s="252"/>
      <c r="I38" s="238"/>
      <c r="J38" s="268" t="str">
        <f>IF(AND('Mapa final'!$H$16="Muy Baja",'Mapa final'!$L$16="Leve"),CONCATENATE("R",'Mapa final'!$A$16),"")</f>
        <v/>
      </c>
      <c r="K38" s="236"/>
      <c r="L38" s="267" t="str">
        <f>IF(AND('Mapa final'!$H$23="Muy Baja",'Mapa final'!$L$23="Leve"),CONCATENATE("R",'Mapa final'!$A$23),"")</f>
        <v/>
      </c>
      <c r="M38" s="236"/>
      <c r="N38" s="267" t="str">
        <f>IF(AND('Mapa final'!$H$30="Muy Baja",'Mapa final'!$L$30="Leve"),CONCATENATE("R",'Mapa final'!$A$30),"")</f>
        <v/>
      </c>
      <c r="O38" s="238"/>
      <c r="P38" s="268" t="str">
        <f>IF(AND('Mapa final'!$H$16="Muy Baja",'Mapa final'!$L$16="Menor"),CONCATENATE("R",'Mapa final'!$A$16),"")</f>
        <v/>
      </c>
      <c r="Q38" s="236"/>
      <c r="R38" s="267" t="str">
        <f>IF(AND('Mapa final'!$H$23="Muy Baja",'Mapa final'!$L$23="Menor"),CONCATENATE("R",'Mapa final'!$A$23),"")</f>
        <v/>
      </c>
      <c r="S38" s="236"/>
      <c r="T38" s="267" t="str">
        <f>IF(AND('Mapa final'!$H$30="Muy Baja",'Mapa final'!$L$30="Menor"),CONCATENATE("R",'Mapa final'!$A$30),"")</f>
        <v/>
      </c>
      <c r="U38" s="238"/>
      <c r="V38" s="250" t="str">
        <f>IF(AND('Mapa final'!$H$16="Muy Baja",'Mapa final'!$L$16="Moderado"),CONCATENATE("R",'Mapa final'!$A$16),"")</f>
        <v/>
      </c>
      <c r="W38" s="236"/>
      <c r="X38" s="235" t="str">
        <f>IF(AND('Mapa final'!$H$23="Muy Baja",'Mapa final'!$L$23="Moderado"),CONCATENATE("R",'Mapa final'!$A$23),"")</f>
        <v/>
      </c>
      <c r="Y38" s="236"/>
      <c r="Z38" s="235" t="str">
        <f>IF(AND('Mapa final'!$H$30="Muy Baja",'Mapa final'!$L$30="Moderado"),CONCATENATE("R",'Mapa final'!$A$30),"")</f>
        <v/>
      </c>
      <c r="AA38" s="238"/>
      <c r="AB38" s="239" t="str">
        <f>IF(AND('Mapa final'!$H$16="Muy Baja",'Mapa final'!$L$16="Mayor"),CONCATENATE("R",'Mapa final'!$A$16),"")</f>
        <v/>
      </c>
      <c r="AC38" s="236"/>
      <c r="AD38" s="241" t="str">
        <f>IF(AND('Mapa final'!$H$23="Muy Baja",'Mapa final'!$L$23="Mayor"),CONCATENATE("R",'Mapa final'!$A$23),"")</f>
        <v/>
      </c>
      <c r="AE38" s="236"/>
      <c r="AF38" s="241" t="str">
        <f>IF(AND('Mapa final'!$H$30="Muy Baja",'Mapa final'!$L$30="Mayor"),CONCATENATE("R",'Mapa final'!$A$30),"")</f>
        <v/>
      </c>
      <c r="AG38" s="238"/>
      <c r="AH38" s="258" t="str">
        <f>IF(AND('Mapa final'!$H$16="Muy Baja",'Mapa final'!$L$16="Catastrófico"),CONCATENATE("R",'Mapa final'!$A$16),"")</f>
        <v/>
      </c>
      <c r="AI38" s="236"/>
      <c r="AJ38" s="242" t="str">
        <f>IF(AND('Mapa final'!$H$23="Muy Baja",'Mapa final'!$L$23="Catastrófico"),CONCATENATE("R",'Mapa final'!$A$23),"")</f>
        <v/>
      </c>
      <c r="AK38" s="236"/>
      <c r="AL38" s="242" t="str">
        <f>IF(AND('Mapa final'!$H$30="Muy Baja",'Mapa final'!$L$30="Catastrófico"),CONCATENATE("R",'Mapa final'!$A$30),"")</f>
        <v/>
      </c>
      <c r="AM38" s="238"/>
      <c r="AN38" s="1"/>
      <c r="AO38" s="1"/>
      <c r="AP38" s="1"/>
      <c r="AQ38" s="1"/>
      <c r="AR38" s="1"/>
      <c r="AS38" s="1"/>
      <c r="AT38" s="1"/>
    </row>
    <row r="39" spans="2:46" ht="15.75" customHeight="1" x14ac:dyDescent="0.25">
      <c r="B39" s="263"/>
      <c r="C39" s="218"/>
      <c r="D39" s="219"/>
      <c r="E39" s="230"/>
      <c r="F39" s="218"/>
      <c r="G39" s="218"/>
      <c r="H39" s="218"/>
      <c r="I39" s="219"/>
      <c r="J39" s="240"/>
      <c r="K39" s="237"/>
      <c r="L39" s="233"/>
      <c r="M39" s="237"/>
      <c r="N39" s="233"/>
      <c r="O39" s="234"/>
      <c r="P39" s="240"/>
      <c r="Q39" s="237"/>
      <c r="R39" s="233"/>
      <c r="S39" s="237"/>
      <c r="T39" s="233"/>
      <c r="U39" s="234"/>
      <c r="V39" s="240"/>
      <c r="W39" s="237"/>
      <c r="X39" s="233"/>
      <c r="Y39" s="237"/>
      <c r="Z39" s="233"/>
      <c r="AA39" s="234"/>
      <c r="AB39" s="240"/>
      <c r="AC39" s="237"/>
      <c r="AD39" s="233"/>
      <c r="AE39" s="237"/>
      <c r="AF39" s="233"/>
      <c r="AG39" s="234"/>
      <c r="AH39" s="240"/>
      <c r="AI39" s="237"/>
      <c r="AJ39" s="233"/>
      <c r="AK39" s="237"/>
      <c r="AL39" s="233"/>
      <c r="AM39" s="234"/>
      <c r="AN39" s="1"/>
      <c r="AO39" s="1"/>
      <c r="AP39" s="1"/>
      <c r="AQ39" s="1"/>
      <c r="AR39" s="1"/>
      <c r="AS39" s="1"/>
      <c r="AT39" s="1"/>
    </row>
    <row r="40" spans="2:46" ht="15.75" customHeight="1" x14ac:dyDescent="0.25">
      <c r="B40" s="263"/>
      <c r="C40" s="218"/>
      <c r="D40" s="219"/>
      <c r="E40" s="230"/>
      <c r="F40" s="218"/>
      <c r="G40" s="218"/>
      <c r="H40" s="218"/>
      <c r="I40" s="219"/>
      <c r="J40" s="259" t="str">
        <f>IF(AND('Mapa final'!$H$37="Muy Baja",'Mapa final'!$L$37="Leve"),CONCATENATE("R",'Mapa final'!$A$37),"")</f>
        <v/>
      </c>
      <c r="K40" s="244"/>
      <c r="L40" s="243" t="str">
        <f>IF(AND('Mapa final'!$H$44="Muy Baja",'Mapa final'!$L$44="Leve"),CONCATENATE("R",'Mapa final'!$A$44),"")</f>
        <v/>
      </c>
      <c r="M40" s="244"/>
      <c r="N40" s="243" t="str">
        <f>IF(AND('Mapa final'!$H$51="Muy Baja",'Mapa final'!$L$51="Leve"),CONCATENATE("R",'Mapa final'!$A$51),"")</f>
        <v/>
      </c>
      <c r="O40" s="232"/>
      <c r="P40" s="259" t="str">
        <f>IF(AND('Mapa final'!$H$37="Muy Baja",'Mapa final'!$L$37="Menor"),CONCATENATE("R",'Mapa final'!$A$37),"")</f>
        <v/>
      </c>
      <c r="Q40" s="244"/>
      <c r="R40" s="243" t="str">
        <f>IF(AND('Mapa final'!$H$44="Muy Baja",'Mapa final'!$L$44="Menor"),CONCATENATE("R",'Mapa final'!$A$44),"")</f>
        <v/>
      </c>
      <c r="S40" s="244"/>
      <c r="T40" s="243" t="str">
        <f>IF(AND('Mapa final'!$H$51="Muy Baja",'Mapa final'!$L$51="Menor"),CONCATENATE("R",'Mapa final'!$A$51),"")</f>
        <v/>
      </c>
      <c r="U40" s="232"/>
      <c r="V40" s="245" t="str">
        <f>IF(AND('Mapa final'!$H$37="Muy Baja",'Mapa final'!$L$37="Moderado"),CONCATENATE("R",'Mapa final'!$A$37),"")</f>
        <v/>
      </c>
      <c r="W40" s="244"/>
      <c r="X40" s="231" t="str">
        <f>IF(AND('Mapa final'!$H$44="Muy Baja",'Mapa final'!$L$44="Moderado"),CONCATENATE("R",'Mapa final'!$A$44),"")</f>
        <v/>
      </c>
      <c r="Y40" s="244"/>
      <c r="Z40" s="231" t="str">
        <f>IF(AND('Mapa final'!$H$51="Muy Baja",'Mapa final'!$L$51="Moderado"),CONCATENATE("R",'Mapa final'!$A$51),"")</f>
        <v/>
      </c>
      <c r="AA40" s="232"/>
      <c r="AB40" s="246" t="str">
        <f>IF(AND('Mapa final'!$H$37="Muy Baja",'Mapa final'!$L$37="Mayor"),CONCATENATE("R",'Mapa final'!$A$37),"")</f>
        <v/>
      </c>
      <c r="AC40" s="244"/>
      <c r="AD40" s="247" t="str">
        <f>IF(AND('Mapa final'!$H$44="Muy Baja",'Mapa final'!$L$44="Mayor"),CONCATENATE("R",'Mapa final'!$A$44),"")</f>
        <v/>
      </c>
      <c r="AE40" s="244"/>
      <c r="AF40" s="247" t="str">
        <f>IF(AND('Mapa final'!$H$51="Muy Baja",'Mapa final'!$L$51="Mayor"),CONCATENATE("R",'Mapa final'!$A$51),"")</f>
        <v/>
      </c>
      <c r="AG40" s="232"/>
      <c r="AH40" s="248" t="str">
        <f>IF(AND('Mapa final'!$H$37="Muy Baja",'Mapa final'!$L$37="Catastrófico"),CONCATENATE("R",'Mapa final'!$A$37),"")</f>
        <v/>
      </c>
      <c r="AI40" s="244"/>
      <c r="AJ40" s="249" t="str">
        <f>IF(AND('Mapa final'!$H$44="Muy Baja",'Mapa final'!$L$44="Catastrófico"),CONCATENATE("R",'Mapa final'!$A$44),"")</f>
        <v/>
      </c>
      <c r="AK40" s="244"/>
      <c r="AL40" s="249" t="str">
        <f>IF(AND('Mapa final'!$H$51="Muy Baja",'Mapa final'!$L$51="Catastrófico"),CONCATENATE("R",'Mapa final'!$A$51),"")</f>
        <v/>
      </c>
      <c r="AM40" s="232"/>
      <c r="AN40" s="1"/>
      <c r="AO40" s="1"/>
      <c r="AP40" s="1"/>
      <c r="AQ40" s="1"/>
      <c r="AR40" s="1"/>
      <c r="AS40" s="1"/>
      <c r="AT40" s="1"/>
    </row>
    <row r="41" spans="2:46" ht="15.75" customHeight="1" x14ac:dyDescent="0.25">
      <c r="B41" s="263"/>
      <c r="C41" s="218"/>
      <c r="D41" s="219"/>
      <c r="E41" s="230"/>
      <c r="F41" s="218"/>
      <c r="G41" s="218"/>
      <c r="H41" s="218"/>
      <c r="I41" s="219"/>
      <c r="J41" s="240"/>
      <c r="K41" s="237"/>
      <c r="L41" s="233"/>
      <c r="M41" s="237"/>
      <c r="N41" s="233"/>
      <c r="O41" s="234"/>
      <c r="P41" s="240"/>
      <c r="Q41" s="237"/>
      <c r="R41" s="233"/>
      <c r="S41" s="237"/>
      <c r="T41" s="233"/>
      <c r="U41" s="234"/>
      <c r="V41" s="240"/>
      <c r="W41" s="237"/>
      <c r="X41" s="233"/>
      <c r="Y41" s="237"/>
      <c r="Z41" s="233"/>
      <c r="AA41" s="234"/>
      <c r="AB41" s="240"/>
      <c r="AC41" s="237"/>
      <c r="AD41" s="233"/>
      <c r="AE41" s="237"/>
      <c r="AF41" s="233"/>
      <c r="AG41" s="234"/>
      <c r="AH41" s="240"/>
      <c r="AI41" s="237"/>
      <c r="AJ41" s="233"/>
      <c r="AK41" s="237"/>
      <c r="AL41" s="233"/>
      <c r="AM41" s="234"/>
      <c r="AN41" s="1"/>
      <c r="AO41" s="1"/>
      <c r="AP41" s="1"/>
      <c r="AQ41" s="1"/>
      <c r="AR41" s="1"/>
      <c r="AS41" s="1"/>
      <c r="AT41" s="1"/>
    </row>
    <row r="42" spans="2:46" ht="15.75" customHeight="1" x14ac:dyDescent="0.25">
      <c r="B42" s="263"/>
      <c r="C42" s="218"/>
      <c r="D42" s="219"/>
      <c r="E42" s="230"/>
      <c r="F42" s="218"/>
      <c r="G42" s="218"/>
      <c r="H42" s="218"/>
      <c r="I42" s="219"/>
      <c r="J42" s="259" t="e">
        <f>IF(AND('Mapa final'!#REF!="Muy Baja",'Mapa final'!#REF!="Leve"),CONCATENATE("R",'Mapa final'!#REF!),"")</f>
        <v>#REF!</v>
      </c>
      <c r="K42" s="244"/>
      <c r="L42" s="243" t="e">
        <f>IF(AND('Mapa final'!#REF!="Muy Baja",'Mapa final'!#REF!="Leve"),CONCATENATE("R",'Mapa final'!#REF!),"")</f>
        <v>#REF!</v>
      </c>
      <c r="M42" s="244"/>
      <c r="N42" s="243" t="e">
        <f>IF(AND('Mapa final'!#REF!="Muy Baja",'Mapa final'!#REF!="Leve"),CONCATENATE("R",'Mapa final'!#REF!),"")</f>
        <v>#REF!</v>
      </c>
      <c r="O42" s="232"/>
      <c r="P42" s="259" t="e">
        <f>IF(AND('Mapa final'!#REF!="Muy Baja",'Mapa final'!#REF!="Menor"),CONCATENATE("R",'Mapa final'!#REF!),"")</f>
        <v>#REF!</v>
      </c>
      <c r="Q42" s="244"/>
      <c r="R42" s="243" t="e">
        <f>IF(AND('Mapa final'!#REF!="Muy Baja",'Mapa final'!#REF!="Menor"),CONCATENATE("R",'Mapa final'!#REF!),"")</f>
        <v>#REF!</v>
      </c>
      <c r="S42" s="244"/>
      <c r="T42" s="243" t="e">
        <f>IF(AND('Mapa final'!#REF!="Muy Baja",'Mapa final'!#REF!="Menor"),CONCATENATE("R",'Mapa final'!#REF!),"")</f>
        <v>#REF!</v>
      </c>
      <c r="U42" s="232"/>
      <c r="V42" s="245" t="e">
        <f>IF(AND('Mapa final'!#REF!="Muy Baja",'Mapa final'!#REF!="Moderado"),CONCATENATE("R",'Mapa final'!#REF!),"")</f>
        <v>#REF!</v>
      </c>
      <c r="W42" s="244"/>
      <c r="X42" s="231" t="e">
        <f>IF(AND('Mapa final'!#REF!="Muy Baja",'Mapa final'!#REF!="Moderado"),CONCATENATE("R",'Mapa final'!#REF!),"")</f>
        <v>#REF!</v>
      </c>
      <c r="Y42" s="244"/>
      <c r="Z42" s="231" t="e">
        <f>IF(AND('Mapa final'!#REF!="Muy Baja",'Mapa final'!#REF!="Moderado"),CONCATENATE("R",'Mapa final'!#REF!),"")</f>
        <v>#REF!</v>
      </c>
      <c r="AA42" s="232"/>
      <c r="AB42" s="246" t="e">
        <f>IF(AND('Mapa final'!#REF!="Muy Baja",'Mapa final'!#REF!="Mayor"),CONCATENATE("R",'Mapa final'!#REF!),"")</f>
        <v>#REF!</v>
      </c>
      <c r="AC42" s="244"/>
      <c r="AD42" s="247" t="e">
        <f>IF(AND('Mapa final'!#REF!="Muy Baja",'Mapa final'!#REF!="Mayor"),CONCATENATE("R",'Mapa final'!#REF!),"")</f>
        <v>#REF!</v>
      </c>
      <c r="AE42" s="244"/>
      <c r="AF42" s="247" t="e">
        <f>IF(AND('Mapa final'!#REF!="Muy Baja",'Mapa final'!#REF!="Mayor"),CONCATENATE("R",'Mapa final'!#REF!),"")</f>
        <v>#REF!</v>
      </c>
      <c r="AG42" s="232"/>
      <c r="AH42" s="248" t="e">
        <f>IF(AND('Mapa final'!#REF!="Muy Baja",'Mapa final'!#REF!="Catastrófico"),CONCATENATE("R",'Mapa final'!#REF!),"")</f>
        <v>#REF!</v>
      </c>
      <c r="AI42" s="244"/>
      <c r="AJ42" s="249" t="e">
        <f>IF(AND('Mapa final'!#REF!="Muy Baja",'Mapa final'!#REF!="Catastrófico"),CONCATENATE("R",'Mapa final'!#REF!),"")</f>
        <v>#REF!</v>
      </c>
      <c r="AK42" s="244"/>
      <c r="AL42" s="249" t="e">
        <f>IF(AND('Mapa final'!#REF!="Muy Baja",'Mapa final'!#REF!="Catastrófico"),CONCATENATE("R",'Mapa final'!#REF!),"")</f>
        <v>#REF!</v>
      </c>
      <c r="AM42" s="232"/>
      <c r="AN42" s="1"/>
      <c r="AO42" s="1"/>
      <c r="AP42" s="1"/>
      <c r="AQ42" s="1"/>
      <c r="AR42" s="1"/>
      <c r="AS42" s="1"/>
      <c r="AT42" s="1"/>
    </row>
    <row r="43" spans="2:46" ht="15.75" customHeight="1" x14ac:dyDescent="0.25">
      <c r="B43" s="263"/>
      <c r="C43" s="218"/>
      <c r="D43" s="219"/>
      <c r="E43" s="230"/>
      <c r="F43" s="218"/>
      <c r="G43" s="218"/>
      <c r="H43" s="218"/>
      <c r="I43" s="219"/>
      <c r="J43" s="240"/>
      <c r="K43" s="237"/>
      <c r="L43" s="233"/>
      <c r="M43" s="237"/>
      <c r="N43" s="233"/>
      <c r="O43" s="234"/>
      <c r="P43" s="240"/>
      <c r="Q43" s="237"/>
      <c r="R43" s="233"/>
      <c r="S43" s="237"/>
      <c r="T43" s="233"/>
      <c r="U43" s="234"/>
      <c r="V43" s="240"/>
      <c r="W43" s="237"/>
      <c r="X43" s="233"/>
      <c r="Y43" s="237"/>
      <c r="Z43" s="233"/>
      <c r="AA43" s="234"/>
      <c r="AB43" s="240"/>
      <c r="AC43" s="237"/>
      <c r="AD43" s="233"/>
      <c r="AE43" s="237"/>
      <c r="AF43" s="233"/>
      <c r="AG43" s="234"/>
      <c r="AH43" s="240"/>
      <c r="AI43" s="237"/>
      <c r="AJ43" s="233"/>
      <c r="AK43" s="237"/>
      <c r="AL43" s="233"/>
      <c r="AM43" s="234"/>
      <c r="AN43" s="1"/>
      <c r="AO43" s="1"/>
      <c r="AP43" s="1"/>
      <c r="AQ43" s="1"/>
      <c r="AR43" s="1"/>
      <c r="AS43" s="1"/>
      <c r="AT43" s="1"/>
    </row>
    <row r="44" spans="2:46" ht="15.75" customHeight="1" x14ac:dyDescent="0.25">
      <c r="B44" s="263"/>
      <c r="C44" s="218"/>
      <c r="D44" s="219"/>
      <c r="E44" s="230"/>
      <c r="F44" s="218"/>
      <c r="G44" s="218"/>
      <c r="H44" s="218"/>
      <c r="I44" s="219"/>
      <c r="J44" s="259" t="e">
        <f>IF(AND('Mapa final'!#REF!="Muy Baja",'Mapa final'!#REF!="Leve"),CONCATENATE("R",'Mapa final'!#REF!),"")</f>
        <v>#REF!</v>
      </c>
      <c r="K44" s="244"/>
      <c r="L44" s="243" t="e">
        <f>IF(AND('Mapa final'!#REF!="Muy Baja",'Mapa final'!#REF!="Leve"),CONCATENATE("R",'Mapa final'!#REF!),"")</f>
        <v>#REF!</v>
      </c>
      <c r="M44" s="244"/>
      <c r="N44" s="243" t="str">
        <f>IF(AND('Mapa final'!$H$134="Muy Baja",'Mapa final'!$L$134="Leve"),CONCATENATE("R",'Mapa final'!$A$134),"")</f>
        <v/>
      </c>
      <c r="O44" s="232"/>
      <c r="P44" s="259" t="e">
        <f>IF(AND('Mapa final'!#REF!="Muy Baja",'Mapa final'!#REF!="Menor"),CONCATENATE("R",'Mapa final'!#REF!),"")</f>
        <v>#REF!</v>
      </c>
      <c r="Q44" s="244"/>
      <c r="R44" s="243" t="e">
        <f>IF(AND('Mapa final'!#REF!="Muy Baja",'Mapa final'!#REF!="Menor"),CONCATENATE("R",'Mapa final'!#REF!),"")</f>
        <v>#REF!</v>
      </c>
      <c r="S44" s="244"/>
      <c r="T44" s="243" t="str">
        <f>IF(AND('Mapa final'!$H$134="Muy Baja",'Mapa final'!$L$134="Menor"),CONCATENATE("R",'Mapa final'!$A$134),"")</f>
        <v/>
      </c>
      <c r="U44" s="232"/>
      <c r="V44" s="245" t="e">
        <f>IF(AND('Mapa final'!#REF!="Muy Baja",'Mapa final'!#REF!="Moderado"),CONCATENATE("R",'Mapa final'!#REF!),"")</f>
        <v>#REF!</v>
      </c>
      <c r="W44" s="244"/>
      <c r="X44" s="231" t="e">
        <f>IF(AND('Mapa final'!#REF!="Muy Baja",'Mapa final'!#REF!="Moderado"),CONCATENATE("R",'Mapa final'!#REF!),"")</f>
        <v>#REF!</v>
      </c>
      <c r="Y44" s="244"/>
      <c r="Z44" s="231" t="str">
        <f>IF(AND('Mapa final'!$H$134="Muy Baja",'Mapa final'!$L$134="Moderado"),CONCATENATE("R",'Mapa final'!$A$134),"")</f>
        <v/>
      </c>
      <c r="AA44" s="232"/>
      <c r="AB44" s="246" t="e">
        <f>IF(AND('Mapa final'!#REF!="Muy Baja",'Mapa final'!#REF!="Mayor"),CONCATENATE("R",'Mapa final'!#REF!),"")</f>
        <v>#REF!</v>
      </c>
      <c r="AC44" s="244"/>
      <c r="AD44" s="247" t="e">
        <f>IF(AND('Mapa final'!#REF!="Muy Baja",'Mapa final'!#REF!="Mayor"),CONCATENATE("R",'Mapa final'!#REF!),"")</f>
        <v>#REF!</v>
      </c>
      <c r="AE44" s="244"/>
      <c r="AF44" s="247" t="str">
        <f>IF(AND('Mapa final'!$H$134="Muy Baja",'Mapa final'!$L$134="Mayor"),CONCATENATE("R",'Mapa final'!$A$134),"")</f>
        <v/>
      </c>
      <c r="AG44" s="232"/>
      <c r="AH44" s="248" t="e">
        <f>IF(AND('Mapa final'!#REF!="Muy Baja",'Mapa final'!#REF!="Catastrófico"),CONCATENATE("R",'Mapa final'!#REF!),"")</f>
        <v>#REF!</v>
      </c>
      <c r="AI44" s="244"/>
      <c r="AJ44" s="249" t="e">
        <f>IF(AND('Mapa final'!#REF!="Muy Baja",'Mapa final'!#REF!="Catastrófico"),CONCATENATE("R",'Mapa final'!#REF!),"")</f>
        <v>#REF!</v>
      </c>
      <c r="AK44" s="244"/>
      <c r="AL44" s="249" t="str">
        <f>IF(AND('Mapa final'!$H$134="Muy Baja",'Mapa final'!$L$134="Catastrófico"),CONCATENATE("R",'Mapa final'!$A$134),"")</f>
        <v/>
      </c>
      <c r="AM44" s="232"/>
      <c r="AN44" s="1"/>
      <c r="AO44" s="1"/>
      <c r="AP44" s="1"/>
      <c r="AQ44" s="1"/>
      <c r="AR44" s="1"/>
      <c r="AS44" s="1"/>
      <c r="AT44" s="1"/>
    </row>
    <row r="45" spans="2:46" ht="15.75" customHeight="1" x14ac:dyDescent="0.25">
      <c r="B45" s="233"/>
      <c r="C45" s="265"/>
      <c r="D45" s="234"/>
      <c r="E45" s="253"/>
      <c r="F45" s="254"/>
      <c r="G45" s="254"/>
      <c r="H45" s="254"/>
      <c r="I45" s="257"/>
      <c r="J45" s="253"/>
      <c r="K45" s="255"/>
      <c r="L45" s="256"/>
      <c r="M45" s="255"/>
      <c r="N45" s="256"/>
      <c r="O45" s="257"/>
      <c r="P45" s="253"/>
      <c r="Q45" s="255"/>
      <c r="R45" s="256"/>
      <c r="S45" s="255"/>
      <c r="T45" s="256"/>
      <c r="U45" s="257"/>
      <c r="V45" s="253"/>
      <c r="W45" s="255"/>
      <c r="X45" s="256"/>
      <c r="Y45" s="255"/>
      <c r="Z45" s="256"/>
      <c r="AA45" s="257"/>
      <c r="AB45" s="253"/>
      <c r="AC45" s="255"/>
      <c r="AD45" s="256"/>
      <c r="AE45" s="255"/>
      <c r="AF45" s="256"/>
      <c r="AG45" s="257"/>
      <c r="AH45" s="253"/>
      <c r="AI45" s="255"/>
      <c r="AJ45" s="256"/>
      <c r="AK45" s="255"/>
      <c r="AL45" s="256"/>
      <c r="AM45" s="257"/>
      <c r="AN45" s="1"/>
      <c r="AO45" s="1"/>
      <c r="AP45" s="1"/>
      <c r="AQ45" s="1"/>
      <c r="AR45" s="1"/>
      <c r="AS45" s="1"/>
      <c r="AT45" s="1"/>
    </row>
    <row r="46" spans="2:46" ht="15.75" customHeight="1" x14ac:dyDescent="0.25">
      <c r="B46" s="1"/>
      <c r="C46" s="1"/>
      <c r="D46" s="1"/>
      <c r="E46" s="1"/>
      <c r="F46" s="1"/>
      <c r="G46" s="1"/>
      <c r="H46" s="1"/>
      <c r="I46" s="1"/>
      <c r="J46" s="251" t="s">
        <v>104</v>
      </c>
      <c r="K46" s="252"/>
      <c r="L46" s="252"/>
      <c r="M46" s="252"/>
      <c r="N46" s="252"/>
      <c r="O46" s="238"/>
      <c r="P46" s="251" t="s">
        <v>105</v>
      </c>
      <c r="Q46" s="252"/>
      <c r="R46" s="252"/>
      <c r="S46" s="252"/>
      <c r="T46" s="252"/>
      <c r="U46" s="238"/>
      <c r="V46" s="251" t="s">
        <v>106</v>
      </c>
      <c r="W46" s="252"/>
      <c r="X46" s="252"/>
      <c r="Y46" s="252"/>
      <c r="Z46" s="252"/>
      <c r="AA46" s="238"/>
      <c r="AB46" s="251" t="s">
        <v>107</v>
      </c>
      <c r="AC46" s="252"/>
      <c r="AD46" s="252"/>
      <c r="AE46" s="252"/>
      <c r="AF46" s="252"/>
      <c r="AG46" s="238"/>
      <c r="AH46" s="251" t="s">
        <v>108</v>
      </c>
      <c r="AI46" s="252"/>
      <c r="AJ46" s="252"/>
      <c r="AK46" s="252"/>
      <c r="AL46" s="252"/>
      <c r="AM46" s="238"/>
      <c r="AN46" s="1"/>
      <c r="AO46" s="1"/>
      <c r="AP46" s="1"/>
      <c r="AQ46" s="1"/>
      <c r="AR46" s="1"/>
      <c r="AS46" s="1"/>
      <c r="AT46" s="1"/>
    </row>
    <row r="47" spans="2:46" ht="15.75" customHeight="1" x14ac:dyDescent="0.25">
      <c r="B47" s="1"/>
      <c r="C47" s="1"/>
      <c r="D47" s="1"/>
      <c r="E47" s="1"/>
      <c r="F47" s="1"/>
      <c r="G47" s="1"/>
      <c r="H47" s="1"/>
      <c r="I47" s="1"/>
      <c r="J47" s="230"/>
      <c r="K47" s="218"/>
      <c r="L47" s="218"/>
      <c r="M47" s="218"/>
      <c r="N47" s="218"/>
      <c r="O47" s="219"/>
      <c r="P47" s="230"/>
      <c r="Q47" s="218"/>
      <c r="R47" s="218"/>
      <c r="S47" s="218"/>
      <c r="T47" s="218"/>
      <c r="U47" s="219"/>
      <c r="V47" s="230"/>
      <c r="W47" s="218"/>
      <c r="X47" s="218"/>
      <c r="Y47" s="218"/>
      <c r="Z47" s="218"/>
      <c r="AA47" s="219"/>
      <c r="AB47" s="230"/>
      <c r="AC47" s="218"/>
      <c r="AD47" s="218"/>
      <c r="AE47" s="218"/>
      <c r="AF47" s="218"/>
      <c r="AG47" s="219"/>
      <c r="AH47" s="230"/>
      <c r="AI47" s="218"/>
      <c r="AJ47" s="218"/>
      <c r="AK47" s="218"/>
      <c r="AL47" s="218"/>
      <c r="AM47" s="219"/>
      <c r="AN47" s="1"/>
      <c r="AO47" s="1"/>
      <c r="AP47" s="1"/>
      <c r="AQ47" s="1"/>
      <c r="AR47" s="1"/>
      <c r="AS47" s="1"/>
      <c r="AT47" s="1"/>
    </row>
    <row r="48" spans="2:46" ht="15.75" customHeight="1" x14ac:dyDescent="0.25">
      <c r="B48" s="1"/>
      <c r="C48" s="1"/>
      <c r="D48" s="1"/>
      <c r="E48" s="1"/>
      <c r="F48" s="1"/>
      <c r="G48" s="1"/>
      <c r="H48" s="1"/>
      <c r="I48" s="1"/>
      <c r="J48" s="230"/>
      <c r="K48" s="218"/>
      <c r="L48" s="218"/>
      <c r="M48" s="218"/>
      <c r="N48" s="218"/>
      <c r="O48" s="219"/>
      <c r="P48" s="230"/>
      <c r="Q48" s="218"/>
      <c r="R48" s="218"/>
      <c r="S48" s="218"/>
      <c r="T48" s="218"/>
      <c r="U48" s="219"/>
      <c r="V48" s="230"/>
      <c r="W48" s="218"/>
      <c r="X48" s="218"/>
      <c r="Y48" s="218"/>
      <c r="Z48" s="218"/>
      <c r="AA48" s="219"/>
      <c r="AB48" s="230"/>
      <c r="AC48" s="218"/>
      <c r="AD48" s="218"/>
      <c r="AE48" s="218"/>
      <c r="AF48" s="218"/>
      <c r="AG48" s="219"/>
      <c r="AH48" s="230"/>
      <c r="AI48" s="218"/>
      <c r="AJ48" s="218"/>
      <c r="AK48" s="218"/>
      <c r="AL48" s="218"/>
      <c r="AM48" s="219"/>
      <c r="AN48" s="1"/>
      <c r="AO48" s="1"/>
      <c r="AP48" s="1"/>
      <c r="AQ48" s="1"/>
      <c r="AR48" s="1"/>
      <c r="AS48" s="1"/>
      <c r="AT48" s="1"/>
    </row>
    <row r="49" spans="2:39" ht="15.75" customHeight="1" x14ac:dyDescent="0.25">
      <c r="B49" s="1"/>
      <c r="C49" s="1"/>
      <c r="D49" s="1"/>
      <c r="E49" s="1"/>
      <c r="F49" s="1"/>
      <c r="G49" s="1"/>
      <c r="H49" s="1"/>
      <c r="I49" s="1"/>
      <c r="J49" s="230"/>
      <c r="K49" s="218"/>
      <c r="L49" s="218"/>
      <c r="M49" s="218"/>
      <c r="N49" s="218"/>
      <c r="O49" s="219"/>
      <c r="P49" s="230"/>
      <c r="Q49" s="218"/>
      <c r="R49" s="218"/>
      <c r="S49" s="218"/>
      <c r="T49" s="218"/>
      <c r="U49" s="219"/>
      <c r="V49" s="230"/>
      <c r="W49" s="218"/>
      <c r="X49" s="218"/>
      <c r="Y49" s="218"/>
      <c r="Z49" s="218"/>
      <c r="AA49" s="219"/>
      <c r="AB49" s="230"/>
      <c r="AC49" s="218"/>
      <c r="AD49" s="218"/>
      <c r="AE49" s="218"/>
      <c r="AF49" s="218"/>
      <c r="AG49" s="219"/>
      <c r="AH49" s="230"/>
      <c r="AI49" s="218"/>
      <c r="AJ49" s="218"/>
      <c r="AK49" s="218"/>
      <c r="AL49" s="218"/>
      <c r="AM49" s="219"/>
    </row>
    <row r="50" spans="2:39" ht="15.75" customHeight="1" x14ac:dyDescent="0.25">
      <c r="B50" s="1"/>
      <c r="C50" s="1"/>
      <c r="D50" s="1"/>
      <c r="E50" s="1"/>
      <c r="F50" s="1"/>
      <c r="G50" s="1"/>
      <c r="H50" s="1"/>
      <c r="I50" s="1"/>
      <c r="J50" s="230"/>
      <c r="K50" s="218"/>
      <c r="L50" s="218"/>
      <c r="M50" s="218"/>
      <c r="N50" s="218"/>
      <c r="O50" s="219"/>
      <c r="P50" s="230"/>
      <c r="Q50" s="218"/>
      <c r="R50" s="218"/>
      <c r="S50" s="218"/>
      <c r="T50" s="218"/>
      <c r="U50" s="219"/>
      <c r="V50" s="230"/>
      <c r="W50" s="218"/>
      <c r="X50" s="218"/>
      <c r="Y50" s="218"/>
      <c r="Z50" s="218"/>
      <c r="AA50" s="219"/>
      <c r="AB50" s="230"/>
      <c r="AC50" s="218"/>
      <c r="AD50" s="218"/>
      <c r="AE50" s="218"/>
      <c r="AF50" s="218"/>
      <c r="AG50" s="219"/>
      <c r="AH50" s="230"/>
      <c r="AI50" s="218"/>
      <c r="AJ50" s="218"/>
      <c r="AK50" s="218"/>
      <c r="AL50" s="218"/>
      <c r="AM50" s="219"/>
    </row>
    <row r="51" spans="2:39" ht="15.75" customHeight="1" x14ac:dyDescent="0.25">
      <c r="B51" s="1"/>
      <c r="C51" s="1"/>
      <c r="D51" s="1"/>
      <c r="E51" s="1"/>
      <c r="F51" s="1"/>
      <c r="G51" s="1"/>
      <c r="H51" s="1"/>
      <c r="I51" s="1"/>
      <c r="J51" s="253"/>
      <c r="K51" s="254"/>
      <c r="L51" s="254"/>
      <c r="M51" s="254"/>
      <c r="N51" s="254"/>
      <c r="O51" s="257"/>
      <c r="P51" s="253"/>
      <c r="Q51" s="254"/>
      <c r="R51" s="254"/>
      <c r="S51" s="254"/>
      <c r="T51" s="254"/>
      <c r="U51" s="257"/>
      <c r="V51" s="253"/>
      <c r="W51" s="254"/>
      <c r="X51" s="254"/>
      <c r="Y51" s="254"/>
      <c r="Z51" s="254"/>
      <c r="AA51" s="257"/>
      <c r="AB51" s="253"/>
      <c r="AC51" s="254"/>
      <c r="AD51" s="254"/>
      <c r="AE51" s="254"/>
      <c r="AF51" s="254"/>
      <c r="AG51" s="257"/>
      <c r="AH51" s="253"/>
      <c r="AI51" s="254"/>
      <c r="AJ51" s="254"/>
      <c r="AK51" s="254"/>
      <c r="AL51" s="254"/>
      <c r="AM51" s="257"/>
    </row>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80" t="s">
        <v>109</v>
      </c>
      <c r="C2" s="218"/>
      <c r="D2" s="218"/>
      <c r="E2" s="218"/>
      <c r="F2" s="218"/>
      <c r="G2" s="218"/>
      <c r="H2" s="218"/>
      <c r="I2" s="218"/>
      <c r="J2" s="261" t="s">
        <v>15</v>
      </c>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44"/>
      <c r="AN2" s="1"/>
      <c r="AO2" s="1"/>
      <c r="AP2" s="1"/>
      <c r="AQ2" s="1"/>
      <c r="AR2" s="1"/>
      <c r="AS2" s="1"/>
      <c r="AT2" s="1"/>
    </row>
    <row r="3" spans="2:46" ht="18.75" customHeight="1" x14ac:dyDescent="0.25">
      <c r="B3" s="218"/>
      <c r="C3" s="218"/>
      <c r="D3" s="218"/>
      <c r="E3" s="218"/>
      <c r="F3" s="218"/>
      <c r="G3" s="218"/>
      <c r="H3" s="218"/>
      <c r="I3" s="218"/>
      <c r="J3" s="263"/>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64"/>
      <c r="AN3" s="1"/>
      <c r="AO3" s="1"/>
      <c r="AP3" s="1"/>
      <c r="AQ3" s="1"/>
      <c r="AR3" s="1"/>
      <c r="AS3" s="1"/>
      <c r="AT3" s="1"/>
    </row>
    <row r="4" spans="2:46" ht="15" customHeight="1" x14ac:dyDescent="0.25">
      <c r="B4" s="218"/>
      <c r="C4" s="218"/>
      <c r="D4" s="218"/>
      <c r="E4" s="218"/>
      <c r="F4" s="218"/>
      <c r="G4" s="218"/>
      <c r="H4" s="218"/>
      <c r="I4" s="218"/>
      <c r="J4" s="233"/>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37"/>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66" t="s">
        <v>94</v>
      </c>
      <c r="C6" s="262"/>
      <c r="D6" s="232"/>
      <c r="E6" s="281" t="s">
        <v>95</v>
      </c>
      <c r="F6" s="252"/>
      <c r="G6" s="252"/>
      <c r="H6" s="252"/>
      <c r="I6" s="238"/>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4" t="s">
        <v>96</v>
      </c>
      <c r="AP6" s="270"/>
      <c r="AQ6" s="270"/>
      <c r="AR6" s="270"/>
      <c r="AS6" s="270"/>
      <c r="AT6" s="271"/>
    </row>
    <row r="7" spans="2:46" ht="15" customHeight="1" x14ac:dyDescent="0.25">
      <c r="B7" s="263"/>
      <c r="C7" s="218"/>
      <c r="D7" s="219"/>
      <c r="E7" s="230"/>
      <c r="F7" s="218"/>
      <c r="G7" s="218"/>
      <c r="H7" s="218"/>
      <c r="I7" s="219"/>
      <c r="J7" s="21" t="str">
        <f>IF(AND('Mapa final'!$Y$23="Muy Alta",'Mapa final'!$AA$23="Leve"),CONCATENATE("R2C",'Mapa final'!$O$23),"")</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final'!$Y$24="Muy Alta",'Mapa final'!$AA$24="Leve"),CONCATENATE("R2C",'Mapa final'!$O$24),"")</f>
        <v/>
      </c>
      <c r="O7" s="23" t="str">
        <f>IF(AND('Mapa final'!$Y$25="Muy Alta",'Mapa final'!$AA$25="Leve"),CONCATENATE("R2C",'Mapa final'!$O$25),"")</f>
        <v/>
      </c>
      <c r="P7" s="21" t="str">
        <f>IF(AND('Mapa final'!$Y$23="Muy Alta",'Mapa final'!$AA$23="Menor"),CONCATENATE("R2C",'Mapa final'!$O$23),"")</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final'!$Y$24="Muy Alta",'Mapa final'!$AA$24="Menor"),CONCATENATE("R2C",'Mapa final'!$O$24),"")</f>
        <v/>
      </c>
      <c r="U7" s="23" t="str">
        <f>IF(AND('Mapa final'!$Y$25="Muy Alta",'Mapa final'!$AA$25="Menor"),CONCATENATE("R2C",'Mapa final'!$O$25),"")</f>
        <v/>
      </c>
      <c r="V7" s="21" t="str">
        <f>IF(AND('Mapa final'!$Y$23="Muy Alta",'Mapa final'!$AA$23="Moderado"),CONCATENATE("R2C",'Mapa final'!$O$23),"")</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final'!$Y$24="Muy Alta",'Mapa final'!$AA$24="Moderado"),CONCATENATE("R2C",'Mapa final'!$O$24),"")</f>
        <v/>
      </c>
      <c r="AA7" s="23" t="str">
        <f>IF(AND('Mapa final'!$Y$25="Muy Alta",'Mapa final'!$AA$25="Moderado"),CONCATENATE("R2C",'Mapa final'!$O$25),"")</f>
        <v/>
      </c>
      <c r="AB7" s="21" t="str">
        <f>IF(AND('Mapa final'!$Y$23="Muy Alta",'Mapa final'!$AA$23="Mayor"),CONCATENATE("R2C",'Mapa final'!$O$23),"")</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final'!$Y$24="Muy Alta",'Mapa final'!$AA$24="Mayor"),CONCATENATE("R2C",'Mapa final'!$O$24),"")</f>
        <v/>
      </c>
      <c r="AG7" s="23" t="str">
        <f>IF(AND('Mapa final'!$Y$25="Muy Alta",'Mapa final'!$AA$25="Mayor"),CONCATENATE("R2C",'Mapa final'!$O$25),"")</f>
        <v/>
      </c>
      <c r="AH7" s="24" t="str">
        <f>IF(AND('Mapa final'!$Y$23="Muy Alta",'Mapa final'!$AA$23="Catastrófico"),CONCATENATE("R2C",'Mapa final'!$O$23),"")</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final'!$Y$24="Muy Alta",'Mapa final'!$AA$24="Catastrófico"),CONCATENATE("R2C",'Mapa final'!$O$24),"")</f>
        <v/>
      </c>
      <c r="AM7" s="26" t="str">
        <f>IF(AND('Mapa final'!$Y$25="Muy Alta",'Mapa final'!$AA$25="Catastrófico"),CONCATENATE("R2C",'Mapa final'!$O$25),"")</f>
        <v/>
      </c>
      <c r="AN7" s="1"/>
      <c r="AO7" s="272"/>
      <c r="AP7" s="218"/>
      <c r="AQ7" s="218"/>
      <c r="AR7" s="218"/>
      <c r="AS7" s="218"/>
      <c r="AT7" s="273"/>
    </row>
    <row r="8" spans="2:46" ht="15" customHeight="1" x14ac:dyDescent="0.25">
      <c r="B8" s="263"/>
      <c r="C8" s="218"/>
      <c r="D8" s="219"/>
      <c r="E8" s="230"/>
      <c r="F8" s="218"/>
      <c r="G8" s="218"/>
      <c r="H8" s="218"/>
      <c r="I8" s="219"/>
      <c r="J8" s="21" t="str">
        <f>IF(AND('Mapa final'!$Y$30="Muy Alta",'Mapa final'!$AA$30="Leve"),CONCATENATE("R3C",'Mapa final'!$O$30),"")</f>
        <v/>
      </c>
      <c r="K8" s="22" t="str">
        <f>IF(AND('Mapa final'!$Y$31="Muy Alta",'Mapa final'!$AA$31="Leve"),CONCATENATE("R3C",'Mapa final'!$O$31),"")</f>
        <v/>
      </c>
      <c r="L8" s="22" t="str">
        <f>IF(AND('Mapa final'!$Y$32="Muy Alta",'Mapa final'!$AA$32="Leve"),CONCATENATE("R3C",'Mapa final'!$O$32),"")</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final'!$Y$30="Muy Alta",'Mapa final'!$AA$30="Menor"),CONCATENATE("R3C",'Mapa final'!$O$30),"")</f>
        <v/>
      </c>
      <c r="Q8" s="22" t="str">
        <f>IF(AND('Mapa final'!$Y$31="Muy Alta",'Mapa final'!$AA$31="Menor"),CONCATENATE("R3C",'Mapa final'!$O$31),"")</f>
        <v/>
      </c>
      <c r="R8" s="22" t="str">
        <f>IF(AND('Mapa final'!$Y$32="Muy Alta",'Mapa final'!$AA$32="Menor"),CONCATENATE("R3C",'Mapa final'!$O$32),"")</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final'!$Y$30="Muy Alta",'Mapa final'!$AA$30="Moderado"),CONCATENATE("R3C",'Mapa final'!$O$30),"")</f>
        <v/>
      </c>
      <c r="W8" s="22" t="str">
        <f>IF(AND('Mapa final'!$Y$31="Muy Alta",'Mapa final'!$AA$31="Moderado"),CONCATENATE("R3C",'Mapa final'!$O$31),"")</f>
        <v/>
      </c>
      <c r="X8" s="22" t="str">
        <f>IF(AND('Mapa final'!$Y$32="Muy Alta",'Mapa final'!$AA$32="Moderado"),CONCATENATE("R3C",'Mapa final'!$O$32),"")</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final'!$Y$30="Muy Alta",'Mapa final'!$AA$30="Mayor"),CONCATENATE("R3C",'Mapa final'!$O$30),"")</f>
        <v/>
      </c>
      <c r="AC8" s="22" t="str">
        <f>IF(AND('Mapa final'!$Y$31="Muy Alta",'Mapa final'!$AA$31="Mayor"),CONCATENATE("R3C",'Mapa final'!$O$31),"")</f>
        <v/>
      </c>
      <c r="AD8" s="22" t="str">
        <f>IF(AND('Mapa final'!$Y$32="Muy Alta",'Mapa final'!$AA$32="Mayor"),CONCATENATE("R3C",'Mapa final'!$O$32),"")</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final'!$Y$30="Muy Alta",'Mapa final'!$AA$30="Catastrófico"),CONCATENATE("R3C",'Mapa final'!$O$30),"")</f>
        <v/>
      </c>
      <c r="AI8" s="25" t="str">
        <f>IF(AND('Mapa final'!$Y$31="Muy Alta",'Mapa final'!$AA$31="Catastrófico"),CONCATENATE("R3C",'Mapa final'!$O$31),"")</f>
        <v/>
      </c>
      <c r="AJ8" s="25" t="str">
        <f>IF(AND('Mapa final'!$Y$32="Muy Alta",'Mapa final'!$AA$32="Catastrófico"),CONCATENATE("R3C",'Mapa final'!$O$32),"")</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72"/>
      <c r="AP8" s="218"/>
      <c r="AQ8" s="218"/>
      <c r="AR8" s="218"/>
      <c r="AS8" s="218"/>
      <c r="AT8" s="273"/>
    </row>
    <row r="9" spans="2:46" ht="15" customHeight="1" x14ac:dyDescent="0.25">
      <c r="B9" s="263"/>
      <c r="C9" s="218"/>
      <c r="D9" s="219"/>
      <c r="E9" s="230"/>
      <c r="F9" s="218"/>
      <c r="G9" s="218"/>
      <c r="H9" s="218"/>
      <c r="I9" s="219"/>
      <c r="J9" s="21" t="str">
        <f>IF(AND('Mapa final'!$Y$37="Muy Alta",'Mapa final'!$AA$37="Leve"),CONCATENATE("R4C",'Mapa final'!$O$37),"")</f>
        <v/>
      </c>
      <c r="K9" s="22" t="str">
        <f>IF(AND('Mapa final'!$Y$38="Muy Alta",'Mapa final'!$AA$38="Leve"),CONCATENATE("R4C",'Mapa final'!$O$38),"")</f>
        <v/>
      </c>
      <c r="L9" s="22" t="e">
        <f>IF(AND('Mapa final'!#REF!="Muy Alta",'Mapa final'!#REF!="Leve"),CONCATENATE("R4C",'Mapa final'!#REF!),"")</f>
        <v>#REF!</v>
      </c>
      <c r="M9" s="22" t="str">
        <f>IF(AND('Mapa final'!$Y$39="Muy Alta",'Mapa final'!$AA$39="Leve"),CONCATENATE("R4C",'Mapa final'!$O$39),"")</f>
        <v/>
      </c>
      <c r="N9" s="22" t="e">
        <f>IF(AND('Mapa final'!#REF!="Muy Alta",'Mapa final'!#REF!="Leve"),CONCATENATE("R4C",'Mapa final'!#REF!),"")</f>
        <v>#REF!</v>
      </c>
      <c r="O9" s="23" t="e">
        <f>IF(AND('Mapa final'!#REF!="Muy Alta",'Mapa final'!#REF!="Leve"),CONCATENATE("R4C",'Mapa final'!#REF!),"")</f>
        <v>#REF!</v>
      </c>
      <c r="P9" s="21" t="str">
        <f>IF(AND('Mapa final'!$Y$37="Muy Alta",'Mapa final'!$AA$37="Menor"),CONCATENATE("R4C",'Mapa final'!$O$37),"")</f>
        <v/>
      </c>
      <c r="Q9" s="22" t="str">
        <f>IF(AND('Mapa final'!$Y$38="Muy Alta",'Mapa final'!$AA$38="Menor"),CONCATENATE("R4C",'Mapa final'!$O$38),"")</f>
        <v/>
      </c>
      <c r="R9" s="22" t="e">
        <f>IF(AND('Mapa final'!#REF!="Muy Alta",'Mapa final'!#REF!="Menor"),CONCATENATE("R4C",'Mapa final'!#REF!),"")</f>
        <v>#REF!</v>
      </c>
      <c r="S9" s="22" t="str">
        <f>IF(AND('Mapa final'!$Y$39="Muy Alta",'Mapa final'!$AA$39="Menor"),CONCATENATE("R4C",'Mapa final'!$O$39),"")</f>
        <v/>
      </c>
      <c r="T9" s="22" t="e">
        <f>IF(AND('Mapa final'!#REF!="Muy Alta",'Mapa final'!#REF!="Menor"),CONCATENATE("R4C",'Mapa final'!#REF!),"")</f>
        <v>#REF!</v>
      </c>
      <c r="U9" s="23" t="e">
        <f>IF(AND('Mapa final'!#REF!="Muy Alta",'Mapa final'!#REF!="Menor"),CONCATENATE("R4C",'Mapa final'!#REF!),"")</f>
        <v>#REF!</v>
      </c>
      <c r="V9" s="21" t="str">
        <f>IF(AND('Mapa final'!$Y$37="Muy Alta",'Mapa final'!$AA$37="Moderado"),CONCATENATE("R4C",'Mapa final'!$O$37),"")</f>
        <v/>
      </c>
      <c r="W9" s="22" t="str">
        <f>IF(AND('Mapa final'!$Y$38="Muy Alta",'Mapa final'!$AA$38="Moderado"),CONCATENATE("R4C",'Mapa final'!$O$38),"")</f>
        <v/>
      </c>
      <c r="X9" s="22" t="e">
        <f>IF(AND('Mapa final'!#REF!="Muy Alta",'Mapa final'!#REF!="Moderado"),CONCATENATE("R4C",'Mapa final'!#REF!),"")</f>
        <v>#REF!</v>
      </c>
      <c r="Y9" s="22" t="str">
        <f>IF(AND('Mapa final'!$Y$39="Muy Alta",'Mapa final'!$AA$39="Moderado"),CONCATENATE("R4C",'Mapa final'!$O$39),"")</f>
        <v/>
      </c>
      <c r="Z9" s="22" t="e">
        <f>IF(AND('Mapa final'!#REF!="Muy Alta",'Mapa final'!#REF!="Moderado"),CONCATENATE("R4C",'Mapa final'!#REF!),"")</f>
        <v>#REF!</v>
      </c>
      <c r="AA9" s="23" t="e">
        <f>IF(AND('Mapa final'!#REF!="Muy Alta",'Mapa final'!#REF!="Moderado"),CONCATENATE("R4C",'Mapa final'!#REF!),"")</f>
        <v>#REF!</v>
      </c>
      <c r="AB9" s="21" t="str">
        <f>IF(AND('Mapa final'!$Y$37="Muy Alta",'Mapa final'!$AA$37="Mayor"),CONCATENATE("R4C",'Mapa final'!$O$37),"")</f>
        <v/>
      </c>
      <c r="AC9" s="22" t="str">
        <f>IF(AND('Mapa final'!$Y$38="Muy Alta",'Mapa final'!$AA$38="Mayor"),CONCATENATE("R4C",'Mapa final'!$O$38),"")</f>
        <v/>
      </c>
      <c r="AD9" s="22" t="e">
        <f>IF(AND('Mapa final'!#REF!="Muy Alta",'Mapa final'!#REF!="Mayor"),CONCATENATE("R4C",'Mapa final'!#REF!),"")</f>
        <v>#REF!</v>
      </c>
      <c r="AE9" s="22" t="str">
        <f>IF(AND('Mapa final'!$Y$39="Muy Alta",'Mapa final'!$AA$39="Mayor"),CONCATENATE("R4C",'Mapa final'!$O$39),"")</f>
        <v/>
      </c>
      <c r="AF9" s="22" t="e">
        <f>IF(AND('Mapa final'!#REF!="Muy Alta",'Mapa final'!#REF!="Mayor"),CONCATENATE("R4C",'Mapa final'!#REF!),"")</f>
        <v>#REF!</v>
      </c>
      <c r="AG9" s="23" t="e">
        <f>IF(AND('Mapa final'!#REF!="Muy Alta",'Mapa final'!#REF!="Mayor"),CONCATENATE("R4C",'Mapa final'!#REF!),"")</f>
        <v>#REF!</v>
      </c>
      <c r="AH9" s="24" t="str">
        <f>IF(AND('Mapa final'!$Y$37="Muy Alta",'Mapa final'!$AA$37="Catastrófico"),CONCATENATE("R4C",'Mapa final'!$O$37),"")</f>
        <v/>
      </c>
      <c r="AI9" s="25" t="str">
        <f>IF(AND('Mapa final'!$Y$38="Muy Alta",'Mapa final'!$AA$38="Catastrófico"),CONCATENATE("R4C",'Mapa final'!$O$38),"")</f>
        <v/>
      </c>
      <c r="AJ9" s="25" t="e">
        <f>IF(AND('Mapa final'!#REF!="Muy Alta",'Mapa final'!#REF!="Catastrófico"),CONCATENATE("R4C",'Mapa final'!#REF!),"")</f>
        <v>#REF!</v>
      </c>
      <c r="AK9" s="25" t="str">
        <f>IF(AND('Mapa final'!$Y$39="Muy Alta",'Mapa final'!$AA$39="Catastrófico"),CONCATENATE("R4C",'Mapa final'!$O$39),"")</f>
        <v/>
      </c>
      <c r="AL9" s="25" t="e">
        <f>IF(AND('Mapa final'!#REF!="Muy Alta",'Mapa final'!#REF!="Catastrófico"),CONCATENATE("R4C",'Mapa final'!#REF!),"")</f>
        <v>#REF!</v>
      </c>
      <c r="AM9" s="26" t="e">
        <f>IF(AND('Mapa final'!#REF!="Muy Alta",'Mapa final'!#REF!="Catastrófico"),CONCATENATE("R4C",'Mapa final'!#REF!),"")</f>
        <v>#REF!</v>
      </c>
      <c r="AN9" s="1"/>
      <c r="AO9" s="272"/>
      <c r="AP9" s="218"/>
      <c r="AQ9" s="218"/>
      <c r="AR9" s="218"/>
      <c r="AS9" s="218"/>
      <c r="AT9" s="273"/>
    </row>
    <row r="10" spans="2:46" ht="15" customHeight="1" x14ac:dyDescent="0.25">
      <c r="B10" s="263"/>
      <c r="C10" s="218"/>
      <c r="D10" s="219"/>
      <c r="E10" s="230"/>
      <c r="F10" s="218"/>
      <c r="G10" s="218"/>
      <c r="H10" s="218"/>
      <c r="I10" s="219"/>
      <c r="J10" s="21" t="str">
        <f>IF(AND('Mapa final'!$Y$44="Muy Alta",'Mapa final'!$AA$44="Leve"),CONCATENATE("R5C",'Mapa final'!$O$44),"")</f>
        <v/>
      </c>
      <c r="K10" s="22" t="str">
        <f>IF(AND('Mapa final'!$Y$45="Muy Alta",'Mapa final'!$AA$45="Leve"),CONCATENATE("R5C",'Mapa final'!$O$45),"")</f>
        <v/>
      </c>
      <c r="L10" s="22" t="str">
        <f>IF(AND('Mapa final'!$Y$46="Muy Alta",'Mapa final'!$AA$46="Leve"),CONCATENATE("R5C",'Mapa final'!$O$46),"")</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final'!$Y$44="Muy Alta",'Mapa final'!$AA$44="Menor"),CONCATENATE("R5C",'Mapa final'!$O$44),"")</f>
        <v/>
      </c>
      <c r="Q10" s="22" t="str">
        <f>IF(AND('Mapa final'!$Y$45="Muy Alta",'Mapa final'!$AA$45="Menor"),CONCATENATE("R5C",'Mapa final'!$O$45),"")</f>
        <v/>
      </c>
      <c r="R10" s="22" t="str">
        <f>IF(AND('Mapa final'!$Y$46="Muy Alta",'Mapa final'!$AA$46="Menor"),CONCATENATE("R5C",'Mapa final'!$O$46),"")</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final'!$Y$44="Muy Alta",'Mapa final'!$AA$44="Moderado"),CONCATENATE("R5C",'Mapa final'!$O$44),"")</f>
        <v/>
      </c>
      <c r="W10" s="22" t="str">
        <f>IF(AND('Mapa final'!$Y$45="Muy Alta",'Mapa final'!$AA$45="Moderado"),CONCATENATE("R5C",'Mapa final'!$O$45),"")</f>
        <v/>
      </c>
      <c r="X10" s="22" t="str">
        <f>IF(AND('Mapa final'!$Y$46="Muy Alta",'Mapa final'!$AA$46="Moderado"),CONCATENATE("R5C",'Mapa final'!$O$46),"")</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final'!$Y$44="Muy Alta",'Mapa final'!$AA$44="Mayor"),CONCATENATE("R5C",'Mapa final'!$O$44),"")</f>
        <v/>
      </c>
      <c r="AC10" s="22" t="str">
        <f>IF(AND('Mapa final'!$Y$45="Muy Alta",'Mapa final'!$AA$45="Mayor"),CONCATENATE("R5C",'Mapa final'!$O$45),"")</f>
        <v/>
      </c>
      <c r="AD10" s="22" t="str">
        <f>IF(AND('Mapa final'!$Y$46="Muy Alta",'Mapa final'!$AA$46="Mayor"),CONCATENATE("R5C",'Mapa final'!$O$46),"")</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final'!$Y$44="Muy Alta",'Mapa final'!$AA$44="Catastrófico"),CONCATENATE("R5C",'Mapa final'!$O$44),"")</f>
        <v/>
      </c>
      <c r="AI10" s="25" t="str">
        <f>IF(AND('Mapa final'!$Y$45="Muy Alta",'Mapa final'!$AA$45="Catastrófico"),CONCATENATE("R5C",'Mapa final'!$O$45),"")</f>
        <v/>
      </c>
      <c r="AJ10" s="25" t="str">
        <f>IF(AND('Mapa final'!$Y$46="Muy Alta",'Mapa final'!$AA$46="Catastrófico"),CONCATENATE("R5C",'Mapa final'!$O$46),"")</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72"/>
      <c r="AP10" s="218"/>
      <c r="AQ10" s="218"/>
      <c r="AR10" s="218"/>
      <c r="AS10" s="218"/>
      <c r="AT10" s="273"/>
    </row>
    <row r="11" spans="2:46" ht="15" customHeight="1" x14ac:dyDescent="0.25">
      <c r="B11" s="263"/>
      <c r="C11" s="218"/>
      <c r="D11" s="219"/>
      <c r="E11" s="230"/>
      <c r="F11" s="218"/>
      <c r="G11" s="218"/>
      <c r="H11" s="218"/>
      <c r="I11" s="219"/>
      <c r="J11" s="21" t="str">
        <f>IF(AND('Mapa final'!$Y$51="Muy Alta",'Mapa final'!$AA$51="Leve"),CONCATENATE("R6C",'Mapa final'!$O$51),"")</f>
        <v/>
      </c>
      <c r="K11" s="22" t="str">
        <f>IF(AND('Mapa final'!$Y$52="Muy Alta",'Mapa final'!$AA$52="Leve"),CONCATENATE("R6C",'Mapa final'!$O$52),"")</f>
        <v/>
      </c>
      <c r="L11" s="22" t="str">
        <f>IF(AND('Mapa final'!$Y$53="Muy Alta",'Mapa final'!$AA$53="Leve"),CONCATENATE("R6C",'Mapa final'!$O$53),"")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final'!$Y$51="Muy Alta",'Mapa final'!$AA$51="Menor"),CONCATENATE("R6C",'Mapa final'!$O$51),"")</f>
        <v/>
      </c>
      <c r="Q11" s="22" t="str">
        <f>IF(AND('Mapa final'!$Y$52="Muy Alta",'Mapa final'!$AA$52="Menor"),CONCATENATE("R6C",'Mapa final'!$O$52),"")</f>
        <v/>
      </c>
      <c r="R11" s="22" t="str">
        <f>IF(AND('Mapa final'!$Y$53="Muy Alta",'Mapa final'!$AA$53="Menor"),CONCATENATE("R6C",'Mapa final'!$O$53),"")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final'!$Y$51="Muy Alta",'Mapa final'!$AA$51="Moderado"),CONCATENATE("R6C",'Mapa final'!$O$51),"")</f>
        <v/>
      </c>
      <c r="W11" s="22" t="str">
        <f>IF(AND('Mapa final'!$Y$52="Muy Alta",'Mapa final'!$AA$52="Moderado"),CONCATENATE("R6C",'Mapa final'!$O$52),"")</f>
        <v/>
      </c>
      <c r="X11" s="22" t="str">
        <f>IF(AND('Mapa final'!$Y$53="Muy Alta",'Mapa final'!$AA$53="Moderado"),CONCATENATE("R6C",'Mapa final'!$O$53),"")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final'!$Y$51="Muy Alta",'Mapa final'!$AA$51="Mayor"),CONCATENATE("R6C",'Mapa final'!$O$51),"")</f>
        <v/>
      </c>
      <c r="AC11" s="22" t="str">
        <f>IF(AND('Mapa final'!$Y$52="Muy Alta",'Mapa final'!$AA$52="Mayor"),CONCATENATE("R6C",'Mapa final'!$O$52),"")</f>
        <v/>
      </c>
      <c r="AD11" s="22" t="str">
        <f>IF(AND('Mapa final'!$Y$53="Muy Alta",'Mapa final'!$AA$53="Mayor"),CONCATENATE("R6C",'Mapa final'!$O$53),"")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final'!$Y$51="Muy Alta",'Mapa final'!$AA$51="Catastrófico"),CONCATENATE("R6C",'Mapa final'!$O$51),"")</f>
        <v/>
      </c>
      <c r="AI11" s="25" t="str">
        <f>IF(AND('Mapa final'!$Y$52="Muy Alta",'Mapa final'!$AA$52="Catastrófico"),CONCATENATE("R6C",'Mapa final'!$O$52),"")</f>
        <v/>
      </c>
      <c r="AJ11" s="25" t="str">
        <f>IF(AND('Mapa final'!$Y$53="Muy Alta",'Mapa final'!$AA$53="Catastrófico"),CONCATENATE("R6C",'Mapa final'!$O$53),"")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72"/>
      <c r="AP11" s="218"/>
      <c r="AQ11" s="218"/>
      <c r="AR11" s="218"/>
      <c r="AS11" s="218"/>
      <c r="AT11" s="273"/>
    </row>
    <row r="12" spans="2:46" ht="15" customHeight="1" x14ac:dyDescent="0.25">
      <c r="B12" s="263"/>
      <c r="C12" s="218"/>
      <c r="D12" s="219"/>
      <c r="E12" s="230"/>
      <c r="F12" s="218"/>
      <c r="G12" s="218"/>
      <c r="H12" s="218"/>
      <c r="I12" s="219"/>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72"/>
      <c r="AP12" s="218"/>
      <c r="AQ12" s="218"/>
      <c r="AR12" s="218"/>
      <c r="AS12" s="218"/>
      <c r="AT12" s="273"/>
    </row>
    <row r="13" spans="2:46" ht="15" customHeight="1" x14ac:dyDescent="0.25">
      <c r="B13" s="263"/>
      <c r="C13" s="218"/>
      <c r="D13" s="219"/>
      <c r="E13" s="230"/>
      <c r="F13" s="218"/>
      <c r="G13" s="218"/>
      <c r="H13" s="218"/>
      <c r="I13" s="219"/>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72"/>
      <c r="AP13" s="218"/>
      <c r="AQ13" s="218"/>
      <c r="AR13" s="218"/>
      <c r="AS13" s="218"/>
      <c r="AT13" s="273"/>
    </row>
    <row r="14" spans="2:46" ht="15" customHeight="1" x14ac:dyDescent="0.25">
      <c r="B14" s="263"/>
      <c r="C14" s="218"/>
      <c r="D14" s="219"/>
      <c r="E14" s="230"/>
      <c r="F14" s="218"/>
      <c r="G14" s="218"/>
      <c r="H14" s="218"/>
      <c r="I14" s="219"/>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72"/>
      <c r="AP14" s="218"/>
      <c r="AQ14" s="218"/>
      <c r="AR14" s="218"/>
      <c r="AS14" s="218"/>
      <c r="AT14" s="273"/>
    </row>
    <row r="15" spans="2:46" ht="15.75" customHeight="1" x14ac:dyDescent="0.25">
      <c r="B15" s="263"/>
      <c r="C15" s="218"/>
      <c r="D15" s="219"/>
      <c r="E15" s="253"/>
      <c r="F15" s="254"/>
      <c r="G15" s="254"/>
      <c r="H15" s="254"/>
      <c r="I15" s="257"/>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74"/>
      <c r="AP15" s="275"/>
      <c r="AQ15" s="275"/>
      <c r="AR15" s="275"/>
      <c r="AS15" s="275"/>
      <c r="AT15" s="276"/>
    </row>
    <row r="16" spans="2:46" ht="15" customHeight="1" x14ac:dyDescent="0.25">
      <c r="B16" s="263"/>
      <c r="C16" s="218"/>
      <c r="D16" s="219"/>
      <c r="E16" s="281" t="s">
        <v>97</v>
      </c>
      <c r="F16" s="252"/>
      <c r="G16" s="252"/>
      <c r="H16" s="252"/>
      <c r="I16" s="252"/>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2" t="s">
        <v>98</v>
      </c>
      <c r="AP16" s="270"/>
      <c r="AQ16" s="270"/>
      <c r="AR16" s="270"/>
      <c r="AS16" s="270"/>
      <c r="AT16" s="271"/>
    </row>
    <row r="17" spans="2:46" ht="15" customHeight="1" x14ac:dyDescent="0.25">
      <c r="B17" s="263"/>
      <c r="C17" s="218"/>
      <c r="D17" s="219"/>
      <c r="E17" s="230"/>
      <c r="F17" s="218"/>
      <c r="G17" s="218"/>
      <c r="H17" s="218"/>
      <c r="I17" s="218"/>
      <c r="J17" s="36" t="str">
        <f>IF(AND('Mapa final'!$Y$23="Alta",'Mapa final'!$AA$23="Leve"),CONCATENATE("R2C",'Mapa final'!$O$23),"")</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final'!$Y$24="Alta",'Mapa final'!$AA$24="Leve"),CONCATENATE("R2C",'Mapa final'!$O$24),"")</f>
        <v/>
      </c>
      <c r="O17" s="38" t="str">
        <f>IF(AND('Mapa final'!$Y$25="Alta",'Mapa final'!$AA$25="Leve"),CONCATENATE("R2C",'Mapa final'!$O$25),"")</f>
        <v/>
      </c>
      <c r="P17" s="36" t="str">
        <f>IF(AND('Mapa final'!$Y$23="Alta",'Mapa final'!$AA$23="Menor"),CONCATENATE("R2C",'Mapa final'!$O$23),"")</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final'!$Y$24="Alta",'Mapa final'!$AA$24="Menor"),CONCATENATE("R2C",'Mapa final'!$O$24),"")</f>
        <v/>
      </c>
      <c r="U17" s="38" t="str">
        <f>IF(AND('Mapa final'!$Y$25="Alta",'Mapa final'!$AA$25="Menor"),CONCATENATE("R2C",'Mapa final'!$O$25),"")</f>
        <v/>
      </c>
      <c r="V17" s="21" t="str">
        <f>IF(AND('Mapa final'!$Y$23="Alta",'Mapa final'!$AA$23="Moderado"),CONCATENATE("R2C",'Mapa final'!$O$23),"")</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final'!$Y$24="Alta",'Mapa final'!$AA$24="Moderado"),CONCATENATE("R2C",'Mapa final'!$O$24),"")</f>
        <v/>
      </c>
      <c r="AA17" s="23" t="str">
        <f>IF(AND('Mapa final'!$Y$25="Alta",'Mapa final'!$AA$25="Moderado"),CONCATENATE("R2C",'Mapa final'!$O$25),"")</f>
        <v/>
      </c>
      <c r="AB17" s="21" t="str">
        <f>IF(AND('Mapa final'!$Y$23="Alta",'Mapa final'!$AA$23="Mayor"),CONCATENATE("R2C",'Mapa final'!$O$23),"")</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final'!$Y$24="Alta",'Mapa final'!$AA$24="Mayor"),CONCATENATE("R2C",'Mapa final'!$O$24),"")</f>
        <v/>
      </c>
      <c r="AG17" s="23" t="str">
        <f>IF(AND('Mapa final'!$Y$25="Alta",'Mapa final'!$AA$25="Mayor"),CONCATENATE("R2C",'Mapa final'!$O$25),"")</f>
        <v/>
      </c>
      <c r="AH17" s="24" t="str">
        <f>IF(AND('Mapa final'!$Y$23="Alta",'Mapa final'!$AA$23="Catastrófico"),CONCATENATE("R2C",'Mapa final'!$O$23),"")</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final'!$Y$24="Alta",'Mapa final'!$AA$24="Catastrófico"),CONCATENATE("R2C",'Mapa final'!$O$24),"")</f>
        <v/>
      </c>
      <c r="AM17" s="26" t="str">
        <f>IF(AND('Mapa final'!$Y$25="Alta",'Mapa final'!$AA$25="Catastrófico"),CONCATENATE("R2C",'Mapa final'!$O$25),"")</f>
        <v/>
      </c>
      <c r="AN17" s="1"/>
      <c r="AO17" s="272"/>
      <c r="AP17" s="218"/>
      <c r="AQ17" s="218"/>
      <c r="AR17" s="218"/>
      <c r="AS17" s="218"/>
      <c r="AT17" s="273"/>
    </row>
    <row r="18" spans="2:46" ht="15" customHeight="1" x14ac:dyDescent="0.25">
      <c r="B18" s="263"/>
      <c r="C18" s="218"/>
      <c r="D18" s="219"/>
      <c r="E18" s="230"/>
      <c r="F18" s="218"/>
      <c r="G18" s="218"/>
      <c r="H18" s="218"/>
      <c r="I18" s="218"/>
      <c r="J18" s="36" t="str">
        <f>IF(AND('Mapa final'!$Y$30="Alta",'Mapa final'!$AA$30="Leve"),CONCATENATE("R3C",'Mapa final'!$O$30),"")</f>
        <v/>
      </c>
      <c r="K18" s="37" t="str">
        <f>IF(AND('Mapa final'!$Y$31="Alta",'Mapa final'!$AA$31="Leve"),CONCATENATE("R3C",'Mapa final'!$O$31),"")</f>
        <v/>
      </c>
      <c r="L18" s="37" t="str">
        <f>IF(AND('Mapa final'!$Y$32="Alta",'Mapa final'!$AA$32="Leve"),CONCATENATE("R3C",'Mapa final'!$O$32),"")</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final'!$Y$30="Alta",'Mapa final'!$AA$30="Menor"),CONCATENATE("R3C",'Mapa final'!$O$30),"")</f>
        <v/>
      </c>
      <c r="Q18" s="37" t="str">
        <f>IF(AND('Mapa final'!$Y$31="Alta",'Mapa final'!$AA$31="Menor"),CONCATENATE("R3C",'Mapa final'!$O$31),"")</f>
        <v/>
      </c>
      <c r="R18" s="37" t="str">
        <f>IF(AND('Mapa final'!$Y$32="Alta",'Mapa final'!$AA$32="Menor"),CONCATENATE("R3C",'Mapa final'!$O$32),"")</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final'!$Y$30="Alta",'Mapa final'!$AA$30="Moderado"),CONCATENATE("R3C",'Mapa final'!$O$30),"")</f>
        <v/>
      </c>
      <c r="W18" s="22" t="str">
        <f>IF(AND('Mapa final'!$Y$31="Alta",'Mapa final'!$AA$31="Moderado"),CONCATENATE("R3C",'Mapa final'!$O$31),"")</f>
        <v/>
      </c>
      <c r="X18" s="22" t="str">
        <f>IF(AND('Mapa final'!$Y$32="Alta",'Mapa final'!$AA$32="Moderado"),CONCATENATE("R3C",'Mapa final'!$O$32),"")</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final'!$Y$30="Alta",'Mapa final'!$AA$30="Mayor"),CONCATENATE("R3C",'Mapa final'!$O$30),"")</f>
        <v/>
      </c>
      <c r="AC18" s="22" t="str">
        <f>IF(AND('Mapa final'!$Y$31="Alta",'Mapa final'!$AA$31="Mayor"),CONCATENATE("R3C",'Mapa final'!$O$31),"")</f>
        <v/>
      </c>
      <c r="AD18" s="22" t="str">
        <f>IF(AND('Mapa final'!$Y$32="Alta",'Mapa final'!$AA$32="Mayor"),CONCATENATE("R3C",'Mapa final'!$O$32),"")</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final'!$Y$30="Alta",'Mapa final'!$AA$30="Catastrófico"),CONCATENATE("R3C",'Mapa final'!$O$30),"")</f>
        <v/>
      </c>
      <c r="AI18" s="25" t="str">
        <f>IF(AND('Mapa final'!$Y$31="Alta",'Mapa final'!$AA$31="Catastrófico"),CONCATENATE("R3C",'Mapa final'!$O$31),"")</f>
        <v/>
      </c>
      <c r="AJ18" s="25" t="str">
        <f>IF(AND('Mapa final'!$Y$32="Alta",'Mapa final'!$AA$32="Catastrófico"),CONCATENATE("R3C",'Mapa final'!$O$32),"")</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72"/>
      <c r="AP18" s="218"/>
      <c r="AQ18" s="218"/>
      <c r="AR18" s="218"/>
      <c r="AS18" s="218"/>
      <c r="AT18" s="273"/>
    </row>
    <row r="19" spans="2:46" ht="15" customHeight="1" x14ac:dyDescent="0.25">
      <c r="B19" s="263"/>
      <c r="C19" s="218"/>
      <c r="D19" s="219"/>
      <c r="E19" s="230"/>
      <c r="F19" s="218"/>
      <c r="G19" s="218"/>
      <c r="H19" s="218"/>
      <c r="I19" s="218"/>
      <c r="J19" s="36" t="str">
        <f>IF(AND('Mapa final'!$Y$37="Alta",'Mapa final'!$AA$37="Leve"),CONCATENATE("R4C",'Mapa final'!$O$37),"")</f>
        <v/>
      </c>
      <c r="K19" s="37" t="str">
        <f>IF(AND('Mapa final'!$Y$38="Alta",'Mapa final'!$AA$38="Leve"),CONCATENATE("R4C",'Mapa final'!$O$38),"")</f>
        <v/>
      </c>
      <c r="L19" s="37" t="e">
        <f>IF(AND('Mapa final'!#REF!="Alta",'Mapa final'!#REF!="Leve"),CONCATENATE("R4C",'Mapa final'!#REF!),"")</f>
        <v>#REF!</v>
      </c>
      <c r="M19" s="37" t="str">
        <f>IF(AND('Mapa final'!$Y$39="Alta",'Mapa final'!$AA$39="Leve"),CONCATENATE("R4C",'Mapa final'!$O$39),"")</f>
        <v/>
      </c>
      <c r="N19" s="37" t="e">
        <f>IF(AND('Mapa final'!#REF!="Alta",'Mapa final'!#REF!="Leve"),CONCATENATE("R4C",'Mapa final'!#REF!),"")</f>
        <v>#REF!</v>
      </c>
      <c r="O19" s="38" t="e">
        <f>IF(AND('Mapa final'!#REF!="Alta",'Mapa final'!#REF!="Leve"),CONCATENATE("R4C",'Mapa final'!#REF!),"")</f>
        <v>#REF!</v>
      </c>
      <c r="P19" s="36" t="str">
        <f>IF(AND('Mapa final'!$Y$37="Alta",'Mapa final'!$AA$37="Menor"),CONCATENATE("R4C",'Mapa final'!$O$37),"")</f>
        <v/>
      </c>
      <c r="Q19" s="37" t="str">
        <f>IF(AND('Mapa final'!$Y$38="Alta",'Mapa final'!$AA$38="Menor"),CONCATENATE("R4C",'Mapa final'!$O$38),"")</f>
        <v/>
      </c>
      <c r="R19" s="37" t="e">
        <f>IF(AND('Mapa final'!#REF!="Alta",'Mapa final'!#REF!="Menor"),CONCATENATE("R4C",'Mapa final'!#REF!),"")</f>
        <v>#REF!</v>
      </c>
      <c r="S19" s="37" t="str">
        <f>IF(AND('Mapa final'!$Y$39="Alta",'Mapa final'!$AA$39="Menor"),CONCATENATE("R4C",'Mapa final'!$O$39),"")</f>
        <v/>
      </c>
      <c r="T19" s="37" t="e">
        <f>IF(AND('Mapa final'!#REF!="Alta",'Mapa final'!#REF!="Menor"),CONCATENATE("R4C",'Mapa final'!#REF!),"")</f>
        <v>#REF!</v>
      </c>
      <c r="U19" s="38" t="e">
        <f>IF(AND('Mapa final'!#REF!="Alta",'Mapa final'!#REF!="Menor"),CONCATENATE("R4C",'Mapa final'!#REF!),"")</f>
        <v>#REF!</v>
      </c>
      <c r="V19" s="21" t="str">
        <f>IF(AND('Mapa final'!$Y$37="Alta",'Mapa final'!$AA$37="Moderado"),CONCATENATE("R4C",'Mapa final'!$O$37),"")</f>
        <v/>
      </c>
      <c r="W19" s="22" t="str">
        <f>IF(AND('Mapa final'!$Y$38="Alta",'Mapa final'!$AA$38="Moderado"),CONCATENATE("R4C",'Mapa final'!$O$38),"")</f>
        <v/>
      </c>
      <c r="X19" s="22" t="e">
        <f>IF(AND('Mapa final'!#REF!="Alta",'Mapa final'!#REF!="Moderado"),CONCATENATE("R4C",'Mapa final'!#REF!),"")</f>
        <v>#REF!</v>
      </c>
      <c r="Y19" s="22" t="str">
        <f>IF(AND('Mapa final'!$Y$39="Alta",'Mapa final'!$AA$39="Moderado"),CONCATENATE("R4C",'Mapa final'!$O$39),"")</f>
        <v/>
      </c>
      <c r="Z19" s="22" t="e">
        <f>IF(AND('Mapa final'!#REF!="Alta",'Mapa final'!#REF!="Moderado"),CONCATENATE("R4C",'Mapa final'!#REF!),"")</f>
        <v>#REF!</v>
      </c>
      <c r="AA19" s="23" t="e">
        <f>IF(AND('Mapa final'!#REF!="Alta",'Mapa final'!#REF!="Moderado"),CONCATENATE("R4C",'Mapa final'!#REF!),"")</f>
        <v>#REF!</v>
      </c>
      <c r="AB19" s="21" t="str">
        <f>IF(AND('Mapa final'!$Y$37="Alta",'Mapa final'!$AA$37="Mayor"),CONCATENATE("R4C",'Mapa final'!$O$37),"")</f>
        <v/>
      </c>
      <c r="AC19" s="22" t="str">
        <f>IF(AND('Mapa final'!$Y$38="Alta",'Mapa final'!$AA$38="Mayor"),CONCATENATE("R4C",'Mapa final'!$O$38),"")</f>
        <v/>
      </c>
      <c r="AD19" s="22" t="e">
        <f>IF(AND('Mapa final'!#REF!="Alta",'Mapa final'!#REF!="Mayor"),CONCATENATE("R4C",'Mapa final'!#REF!),"")</f>
        <v>#REF!</v>
      </c>
      <c r="AE19" s="22" t="str">
        <f>IF(AND('Mapa final'!$Y$39="Alta",'Mapa final'!$AA$39="Mayor"),CONCATENATE("R4C",'Mapa final'!$O$39),"")</f>
        <v/>
      </c>
      <c r="AF19" s="22" t="e">
        <f>IF(AND('Mapa final'!#REF!="Alta",'Mapa final'!#REF!="Mayor"),CONCATENATE("R4C",'Mapa final'!#REF!),"")</f>
        <v>#REF!</v>
      </c>
      <c r="AG19" s="23" t="e">
        <f>IF(AND('Mapa final'!#REF!="Alta",'Mapa final'!#REF!="Mayor"),CONCATENATE("R4C",'Mapa final'!#REF!),"")</f>
        <v>#REF!</v>
      </c>
      <c r="AH19" s="24" t="str">
        <f>IF(AND('Mapa final'!$Y$37="Alta",'Mapa final'!$AA$37="Catastrófico"),CONCATENATE("R4C",'Mapa final'!$O$37),"")</f>
        <v/>
      </c>
      <c r="AI19" s="25" t="str">
        <f>IF(AND('Mapa final'!$Y$38="Alta",'Mapa final'!$AA$38="Catastrófico"),CONCATENATE("R4C",'Mapa final'!$O$38),"")</f>
        <v/>
      </c>
      <c r="AJ19" s="25" t="e">
        <f>IF(AND('Mapa final'!#REF!="Alta",'Mapa final'!#REF!="Catastrófico"),CONCATENATE("R4C",'Mapa final'!#REF!),"")</f>
        <v>#REF!</v>
      </c>
      <c r="AK19" s="25" t="str">
        <f>IF(AND('Mapa final'!$Y$39="Alta",'Mapa final'!$AA$39="Catastrófico"),CONCATENATE("R4C",'Mapa final'!$O$39),"")</f>
        <v/>
      </c>
      <c r="AL19" s="25" t="e">
        <f>IF(AND('Mapa final'!#REF!="Alta",'Mapa final'!#REF!="Catastrófico"),CONCATENATE("R4C",'Mapa final'!#REF!),"")</f>
        <v>#REF!</v>
      </c>
      <c r="AM19" s="26" t="e">
        <f>IF(AND('Mapa final'!#REF!="Alta",'Mapa final'!#REF!="Catastrófico"),CONCATENATE("R4C",'Mapa final'!#REF!),"")</f>
        <v>#REF!</v>
      </c>
      <c r="AN19" s="1"/>
      <c r="AO19" s="272"/>
      <c r="AP19" s="218"/>
      <c r="AQ19" s="218"/>
      <c r="AR19" s="218"/>
      <c r="AS19" s="218"/>
      <c r="AT19" s="273"/>
    </row>
    <row r="20" spans="2:46" ht="15" customHeight="1" x14ac:dyDescent="0.25">
      <c r="B20" s="263"/>
      <c r="C20" s="218"/>
      <c r="D20" s="219"/>
      <c r="E20" s="230"/>
      <c r="F20" s="218"/>
      <c r="G20" s="218"/>
      <c r="H20" s="218"/>
      <c r="I20" s="218"/>
      <c r="J20" s="36" t="str">
        <f>IF(AND('Mapa final'!$Y$44="Alta",'Mapa final'!$AA$44="Leve"),CONCATENATE("R5C",'Mapa final'!$O$44),"")</f>
        <v/>
      </c>
      <c r="K20" s="37" t="str">
        <f>IF(AND('Mapa final'!$Y$45="Alta",'Mapa final'!$AA$45="Leve"),CONCATENATE("R5C",'Mapa final'!$O$45),"")</f>
        <v/>
      </c>
      <c r="L20" s="37" t="str">
        <f>IF(AND('Mapa final'!$Y$46="Alta",'Mapa final'!$AA$46="Leve"),CONCATENATE("R5C",'Mapa final'!$O$46),"")</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final'!$Y$44="Alta",'Mapa final'!$AA$44="Menor"),CONCATENATE("R5C",'Mapa final'!$O$44),"")</f>
        <v/>
      </c>
      <c r="Q20" s="37" t="str">
        <f>IF(AND('Mapa final'!$Y$45="Alta",'Mapa final'!$AA$45="Menor"),CONCATENATE("R5C",'Mapa final'!$O$45),"")</f>
        <v/>
      </c>
      <c r="R20" s="37" t="str">
        <f>IF(AND('Mapa final'!$Y$46="Alta",'Mapa final'!$AA$46="Menor"),CONCATENATE("R5C",'Mapa final'!$O$46),"")</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final'!$Y$44="Alta",'Mapa final'!$AA$44="Moderado"),CONCATENATE("R5C",'Mapa final'!$O$44),"")</f>
        <v/>
      </c>
      <c r="W20" s="22" t="str">
        <f>IF(AND('Mapa final'!$Y$45="Alta",'Mapa final'!$AA$45="Moderado"),CONCATENATE("R5C",'Mapa final'!$O$45),"")</f>
        <v/>
      </c>
      <c r="X20" s="22" t="str">
        <f>IF(AND('Mapa final'!$Y$46="Alta",'Mapa final'!$AA$46="Moderado"),CONCATENATE("R5C",'Mapa final'!$O$46),"")</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final'!$Y$44="Alta",'Mapa final'!$AA$44="Mayor"),CONCATENATE("R5C",'Mapa final'!$O$44),"")</f>
        <v/>
      </c>
      <c r="AC20" s="22" t="str">
        <f>IF(AND('Mapa final'!$Y$45="Alta",'Mapa final'!$AA$45="Mayor"),CONCATENATE("R5C",'Mapa final'!$O$45),"")</f>
        <v/>
      </c>
      <c r="AD20" s="22" t="str">
        <f>IF(AND('Mapa final'!$Y$46="Alta",'Mapa final'!$AA$46="Mayor"),CONCATENATE("R5C",'Mapa final'!$O$46),"")</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final'!$Y$44="Alta",'Mapa final'!$AA$44="Catastrófico"),CONCATENATE("R5C",'Mapa final'!$O$44),"")</f>
        <v/>
      </c>
      <c r="AI20" s="25" t="str">
        <f>IF(AND('Mapa final'!$Y$45="Alta",'Mapa final'!$AA$45="Catastrófico"),CONCATENATE("R5C",'Mapa final'!$O$45),"")</f>
        <v/>
      </c>
      <c r="AJ20" s="25" t="str">
        <f>IF(AND('Mapa final'!$Y$46="Alta",'Mapa final'!$AA$46="Catastrófico"),CONCATENATE("R5C",'Mapa final'!$O$46),"")</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72"/>
      <c r="AP20" s="218"/>
      <c r="AQ20" s="218"/>
      <c r="AR20" s="218"/>
      <c r="AS20" s="218"/>
      <c r="AT20" s="273"/>
    </row>
    <row r="21" spans="2:46" ht="15" customHeight="1" x14ac:dyDescent="0.25">
      <c r="B21" s="263"/>
      <c r="C21" s="218"/>
      <c r="D21" s="219"/>
      <c r="E21" s="230"/>
      <c r="F21" s="218"/>
      <c r="G21" s="218"/>
      <c r="H21" s="218"/>
      <c r="I21" s="218"/>
      <c r="J21" s="36" t="str">
        <f>IF(AND('Mapa final'!$Y$51="Alta",'Mapa final'!$AA$51="Leve"),CONCATENATE("R6C",'Mapa final'!$O$51),"")</f>
        <v/>
      </c>
      <c r="K21" s="37" t="str">
        <f>IF(AND('Mapa final'!$Y$52="Alta",'Mapa final'!$AA$52="Leve"),CONCATENATE("R6C",'Mapa final'!$O$52),"")</f>
        <v/>
      </c>
      <c r="L21" s="37" t="str">
        <f>IF(AND('Mapa final'!$Y$53="Alta",'Mapa final'!$AA$53="Leve"),CONCATENATE("R6C",'Mapa final'!$O$53),"")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final'!$Y$51="Alta",'Mapa final'!$AA$51="Menor"),CONCATENATE("R6C",'Mapa final'!$O$51),"")</f>
        <v/>
      </c>
      <c r="Q21" s="37" t="str">
        <f>IF(AND('Mapa final'!$Y$52="Alta",'Mapa final'!$AA$52="Menor"),CONCATENATE("R6C",'Mapa final'!$O$52),"")</f>
        <v/>
      </c>
      <c r="R21" s="37" t="str">
        <f>IF(AND('Mapa final'!$Y$53="Alta",'Mapa final'!$AA$53="Menor"),CONCATENATE("R6C",'Mapa final'!$O$53),"")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final'!$Y$51="Alta",'Mapa final'!$AA$51="Moderado"),CONCATENATE("R6C",'Mapa final'!$O$51),"")</f>
        <v/>
      </c>
      <c r="W21" s="22" t="str">
        <f>IF(AND('Mapa final'!$Y$52="Alta",'Mapa final'!$AA$52="Moderado"),CONCATENATE("R6C",'Mapa final'!$O$52),"")</f>
        <v/>
      </c>
      <c r="X21" s="22" t="str">
        <f>IF(AND('Mapa final'!$Y$53="Alta",'Mapa final'!$AA$53="Moderado"),CONCATENATE("R6C",'Mapa final'!$O$53),"")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final'!$Y$51="Alta",'Mapa final'!$AA$51="Mayor"),CONCATENATE("R6C",'Mapa final'!$O$51),"")</f>
        <v/>
      </c>
      <c r="AC21" s="22" t="str">
        <f>IF(AND('Mapa final'!$Y$52="Alta",'Mapa final'!$AA$52="Mayor"),CONCATENATE("R6C",'Mapa final'!$O$52),"")</f>
        <v/>
      </c>
      <c r="AD21" s="22" t="str">
        <f>IF(AND('Mapa final'!$Y$53="Alta",'Mapa final'!$AA$53="Mayor"),CONCATENATE("R6C",'Mapa final'!$O$53),"")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final'!$Y$51="Alta",'Mapa final'!$AA$51="Catastrófico"),CONCATENATE("R6C",'Mapa final'!$O$51),"")</f>
        <v/>
      </c>
      <c r="AI21" s="25" t="str">
        <f>IF(AND('Mapa final'!$Y$52="Alta",'Mapa final'!$AA$52="Catastrófico"),CONCATENATE("R6C",'Mapa final'!$O$52),"")</f>
        <v/>
      </c>
      <c r="AJ21" s="25" t="str">
        <f>IF(AND('Mapa final'!$Y$53="Alta",'Mapa final'!$AA$53="Catastrófico"),CONCATENATE("R6C",'Mapa final'!$O$53),"")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72"/>
      <c r="AP21" s="218"/>
      <c r="AQ21" s="218"/>
      <c r="AR21" s="218"/>
      <c r="AS21" s="218"/>
      <c r="AT21" s="273"/>
    </row>
    <row r="22" spans="2:46" ht="15" customHeight="1" x14ac:dyDescent="0.25">
      <c r="B22" s="263"/>
      <c r="C22" s="218"/>
      <c r="D22" s="219"/>
      <c r="E22" s="230"/>
      <c r="F22" s="218"/>
      <c r="G22" s="218"/>
      <c r="H22" s="218"/>
      <c r="I22" s="218"/>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72"/>
      <c r="AP22" s="218"/>
      <c r="AQ22" s="218"/>
      <c r="AR22" s="218"/>
      <c r="AS22" s="218"/>
      <c r="AT22" s="273"/>
    </row>
    <row r="23" spans="2:46" ht="15" customHeight="1" x14ac:dyDescent="0.25">
      <c r="B23" s="263"/>
      <c r="C23" s="218"/>
      <c r="D23" s="219"/>
      <c r="E23" s="230"/>
      <c r="F23" s="218"/>
      <c r="G23" s="218"/>
      <c r="H23" s="218"/>
      <c r="I23" s="218"/>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72"/>
      <c r="AP23" s="218"/>
      <c r="AQ23" s="218"/>
      <c r="AR23" s="218"/>
      <c r="AS23" s="218"/>
      <c r="AT23" s="273"/>
    </row>
    <row r="24" spans="2:46" ht="15" customHeight="1" x14ac:dyDescent="0.25">
      <c r="B24" s="263"/>
      <c r="C24" s="218"/>
      <c r="D24" s="219"/>
      <c r="E24" s="230"/>
      <c r="F24" s="218"/>
      <c r="G24" s="218"/>
      <c r="H24" s="218"/>
      <c r="I24" s="218"/>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72"/>
      <c r="AP24" s="218"/>
      <c r="AQ24" s="218"/>
      <c r="AR24" s="218"/>
      <c r="AS24" s="218"/>
      <c r="AT24" s="273"/>
    </row>
    <row r="25" spans="2:46" ht="15.75" customHeight="1" x14ac:dyDescent="0.25">
      <c r="B25" s="263"/>
      <c r="C25" s="218"/>
      <c r="D25" s="219"/>
      <c r="E25" s="253"/>
      <c r="F25" s="254"/>
      <c r="G25" s="254"/>
      <c r="H25" s="254"/>
      <c r="I25" s="254"/>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74"/>
      <c r="AP25" s="275"/>
      <c r="AQ25" s="275"/>
      <c r="AR25" s="275"/>
      <c r="AS25" s="275"/>
      <c r="AT25" s="276"/>
    </row>
    <row r="26" spans="2:46" ht="15" customHeight="1" x14ac:dyDescent="0.25">
      <c r="B26" s="263"/>
      <c r="C26" s="218"/>
      <c r="D26" s="219"/>
      <c r="E26" s="281" t="s">
        <v>99</v>
      </c>
      <c r="F26" s="252"/>
      <c r="G26" s="252"/>
      <c r="H26" s="252"/>
      <c r="I26" s="238"/>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R1C1</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3" t="s">
        <v>100</v>
      </c>
      <c r="AP26" s="270"/>
      <c r="AQ26" s="270"/>
      <c r="AR26" s="270"/>
      <c r="AS26" s="270"/>
      <c r="AT26" s="271"/>
    </row>
    <row r="27" spans="2:46" ht="15" customHeight="1" x14ac:dyDescent="0.25">
      <c r="B27" s="263"/>
      <c r="C27" s="218"/>
      <c r="D27" s="219"/>
      <c r="E27" s="230"/>
      <c r="F27" s="218"/>
      <c r="G27" s="218"/>
      <c r="H27" s="218"/>
      <c r="I27" s="219"/>
      <c r="J27" s="36" t="str">
        <f>IF(AND('Mapa final'!$Y$23="Media",'Mapa final'!$AA$23="Leve"),CONCATENATE("R2C",'Mapa final'!$O$23),"")</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final'!$Y$24="Media",'Mapa final'!$AA$24="Leve"),CONCATENATE("R2C",'Mapa final'!$O$24),"")</f>
        <v/>
      </c>
      <c r="O27" s="38" t="str">
        <f>IF(AND('Mapa final'!$Y$25="Media",'Mapa final'!$AA$25="Leve"),CONCATENATE("R2C",'Mapa final'!$O$25),"")</f>
        <v/>
      </c>
      <c r="P27" s="36" t="str">
        <f>IF(AND('Mapa final'!$Y$23="Media",'Mapa final'!$AA$23="Menor"),CONCATENATE("R2C",'Mapa final'!$O$23),"")</f>
        <v>R2C1</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final'!$Y$24="Media",'Mapa final'!$AA$24="Menor"),CONCATENATE("R2C",'Mapa final'!$O$24),"")</f>
        <v/>
      </c>
      <c r="U27" s="38" t="str">
        <f>IF(AND('Mapa final'!$Y$25="Media",'Mapa final'!$AA$25="Menor"),CONCATENATE("R2C",'Mapa final'!$O$25),"")</f>
        <v/>
      </c>
      <c r="V27" s="36" t="str">
        <f>IF(AND('Mapa final'!$Y$23="Media",'Mapa final'!$AA$23="Moderado"),CONCATENATE("R2C",'Mapa final'!$O$23),"")</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final'!$Y$24="Media",'Mapa final'!$AA$24="Moderado"),CONCATENATE("R2C",'Mapa final'!$O$24),"")</f>
        <v/>
      </c>
      <c r="AA27" s="38" t="str">
        <f>IF(AND('Mapa final'!$Y$25="Media",'Mapa final'!$AA$25="Moderado"),CONCATENATE("R2C",'Mapa final'!$O$25),"")</f>
        <v/>
      </c>
      <c r="AB27" s="21" t="str">
        <f>IF(AND('Mapa final'!$Y$23="Media",'Mapa final'!$AA$23="Mayor"),CONCATENATE("R2C",'Mapa final'!$O$23),"")</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final'!$Y$24="Media",'Mapa final'!$AA$24="Mayor"),CONCATENATE("R2C",'Mapa final'!$O$24),"")</f>
        <v/>
      </c>
      <c r="AG27" s="23" t="str">
        <f>IF(AND('Mapa final'!$Y$25="Media",'Mapa final'!$AA$25="Mayor"),CONCATENATE("R2C",'Mapa final'!$O$25),"")</f>
        <v/>
      </c>
      <c r="AH27" s="24" t="str">
        <f>IF(AND('Mapa final'!$Y$23="Media",'Mapa final'!$AA$23="Catastrófico"),CONCATENATE("R2C",'Mapa final'!$O$23),"")</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final'!$Y$24="Media",'Mapa final'!$AA$24="Catastrófico"),CONCATENATE("R2C",'Mapa final'!$O$24),"")</f>
        <v/>
      </c>
      <c r="AM27" s="26" t="str">
        <f>IF(AND('Mapa final'!$Y$25="Media",'Mapa final'!$AA$25="Catastrófico"),CONCATENATE("R2C",'Mapa final'!$O$25),"")</f>
        <v/>
      </c>
      <c r="AN27" s="1"/>
      <c r="AO27" s="272"/>
      <c r="AP27" s="218"/>
      <c r="AQ27" s="218"/>
      <c r="AR27" s="218"/>
      <c r="AS27" s="218"/>
      <c r="AT27" s="273"/>
    </row>
    <row r="28" spans="2:46" ht="15" customHeight="1" x14ac:dyDescent="0.25">
      <c r="B28" s="263"/>
      <c r="C28" s="218"/>
      <c r="D28" s="219"/>
      <c r="E28" s="230"/>
      <c r="F28" s="218"/>
      <c r="G28" s="218"/>
      <c r="H28" s="218"/>
      <c r="I28" s="219"/>
      <c r="J28" s="36" t="str">
        <f>IF(AND('Mapa final'!$Y$30="Media",'Mapa final'!$AA$30="Leve"),CONCATENATE("R3C",'Mapa final'!$O$30),"")</f>
        <v/>
      </c>
      <c r="K28" s="37" t="str">
        <f>IF(AND('Mapa final'!$Y$31="Media",'Mapa final'!$AA$31="Leve"),CONCATENATE("R3C",'Mapa final'!$O$31),"")</f>
        <v/>
      </c>
      <c r="L28" s="37" t="str">
        <f>IF(AND('Mapa final'!$Y$32="Media",'Mapa final'!$AA$32="Leve"),CONCATENATE("R3C",'Mapa final'!$O$32),"")</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final'!$Y$30="Media",'Mapa final'!$AA$30="Menor"),CONCATENATE("R3C",'Mapa final'!$O$30),"")</f>
        <v>R3C8</v>
      </c>
      <c r="Q28" s="37" t="str">
        <f>IF(AND('Mapa final'!$Y$31="Media",'Mapa final'!$AA$31="Menor"),CONCATENATE("R3C",'Mapa final'!$O$31),"")</f>
        <v/>
      </c>
      <c r="R28" s="37" t="str">
        <f>IF(AND('Mapa final'!$Y$32="Media",'Mapa final'!$AA$32="Menor"),CONCATENATE("R3C",'Mapa final'!$O$32),"")</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final'!$Y$30="Media",'Mapa final'!$AA$30="Moderado"),CONCATENATE("R3C",'Mapa final'!$O$30),"")</f>
        <v/>
      </c>
      <c r="W28" s="37" t="str">
        <f>IF(AND('Mapa final'!$Y$31="Media",'Mapa final'!$AA$31="Moderado"),CONCATENATE("R3C",'Mapa final'!$O$31),"")</f>
        <v/>
      </c>
      <c r="X28" s="37" t="str">
        <f>IF(AND('Mapa final'!$Y$32="Media",'Mapa final'!$AA$32="Moderado"),CONCATENATE("R3C",'Mapa final'!$O$32),"")</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final'!$Y$30="Media",'Mapa final'!$AA$30="Mayor"),CONCATENATE("R3C",'Mapa final'!$O$30),"")</f>
        <v/>
      </c>
      <c r="AC28" s="22" t="str">
        <f>IF(AND('Mapa final'!$Y$31="Media",'Mapa final'!$AA$31="Mayor"),CONCATENATE("R3C",'Mapa final'!$O$31),"")</f>
        <v/>
      </c>
      <c r="AD28" s="22" t="str">
        <f>IF(AND('Mapa final'!$Y$32="Media",'Mapa final'!$AA$32="Mayor"),CONCATENATE("R3C",'Mapa final'!$O$32),"")</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final'!$Y$30="Media",'Mapa final'!$AA$30="Catastrófico"),CONCATENATE("R3C",'Mapa final'!$O$30),"")</f>
        <v/>
      </c>
      <c r="AI28" s="25" t="str">
        <f>IF(AND('Mapa final'!$Y$31="Media",'Mapa final'!$AA$31="Catastrófico"),CONCATENATE("R3C",'Mapa final'!$O$31),"")</f>
        <v/>
      </c>
      <c r="AJ28" s="25" t="str">
        <f>IF(AND('Mapa final'!$Y$32="Media",'Mapa final'!$AA$32="Catastrófico"),CONCATENATE("R3C",'Mapa final'!$O$32),"")</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72"/>
      <c r="AP28" s="218"/>
      <c r="AQ28" s="218"/>
      <c r="AR28" s="218"/>
      <c r="AS28" s="218"/>
      <c r="AT28" s="273"/>
    </row>
    <row r="29" spans="2:46" ht="15" customHeight="1" x14ac:dyDescent="0.25">
      <c r="B29" s="263"/>
      <c r="C29" s="218"/>
      <c r="D29" s="219"/>
      <c r="E29" s="230"/>
      <c r="F29" s="218"/>
      <c r="G29" s="218"/>
      <c r="H29" s="218"/>
      <c r="I29" s="219"/>
      <c r="J29" s="36" t="str">
        <f>IF(AND('Mapa final'!$Y$37="Media",'Mapa final'!$AA$37="Leve"),CONCATENATE("R4C",'Mapa final'!$O$37),"")</f>
        <v/>
      </c>
      <c r="K29" s="37" t="str">
        <f>IF(AND('Mapa final'!$Y$38="Media",'Mapa final'!$AA$38="Leve"),CONCATENATE("R4C",'Mapa final'!$O$38),"")</f>
        <v/>
      </c>
      <c r="L29" s="37" t="e">
        <f>IF(AND('Mapa final'!#REF!="Media",'Mapa final'!#REF!="Leve"),CONCATENATE("R4C",'Mapa final'!#REF!),"")</f>
        <v>#REF!</v>
      </c>
      <c r="M29" s="37" t="str">
        <f>IF(AND('Mapa final'!$Y$39="Media",'Mapa final'!$AA$39="Leve"),CONCATENATE("R4C",'Mapa final'!$O$39),"")</f>
        <v/>
      </c>
      <c r="N29" s="37" t="e">
        <f>IF(AND('Mapa final'!#REF!="Media",'Mapa final'!#REF!="Leve"),CONCATENATE("R4C",'Mapa final'!#REF!),"")</f>
        <v>#REF!</v>
      </c>
      <c r="O29" s="38" t="e">
        <f>IF(AND('Mapa final'!#REF!="Media",'Mapa final'!#REF!="Leve"),CONCATENATE("R4C",'Mapa final'!#REF!),"")</f>
        <v>#REF!</v>
      </c>
      <c r="P29" s="36" t="str">
        <f>IF(AND('Mapa final'!$Y$37="Media",'Mapa final'!$AA$37="Menor"),CONCATENATE("R4C",'Mapa final'!$O$37),"")</f>
        <v>R4C1</v>
      </c>
      <c r="Q29" s="37" t="str">
        <f>IF(AND('Mapa final'!$Y$38="Media",'Mapa final'!$AA$38="Menor"),CONCATENATE("R4C",'Mapa final'!$O$38),"")</f>
        <v/>
      </c>
      <c r="R29" s="37" t="e">
        <f>IF(AND('Mapa final'!#REF!="Media",'Mapa final'!#REF!="Menor"),CONCATENATE("R4C",'Mapa final'!#REF!),"")</f>
        <v>#REF!</v>
      </c>
      <c r="S29" s="37" t="str">
        <f>IF(AND('Mapa final'!$Y$39="Media",'Mapa final'!$AA$39="Menor"),CONCATENATE("R4C",'Mapa final'!$O$39),"")</f>
        <v/>
      </c>
      <c r="T29" s="37" t="e">
        <f>IF(AND('Mapa final'!#REF!="Media",'Mapa final'!#REF!="Menor"),CONCATENATE("R4C",'Mapa final'!#REF!),"")</f>
        <v>#REF!</v>
      </c>
      <c r="U29" s="38" t="e">
        <f>IF(AND('Mapa final'!#REF!="Media",'Mapa final'!#REF!="Menor"),CONCATENATE("R4C",'Mapa final'!#REF!),"")</f>
        <v>#REF!</v>
      </c>
      <c r="V29" s="36" t="str">
        <f>IF(AND('Mapa final'!$Y$37="Media",'Mapa final'!$AA$37="Moderado"),CONCATENATE("R4C",'Mapa final'!$O$37),"")</f>
        <v/>
      </c>
      <c r="W29" s="37" t="str">
        <f>IF(AND('Mapa final'!$Y$38="Media",'Mapa final'!$AA$38="Moderado"),CONCATENATE("R4C",'Mapa final'!$O$38),"")</f>
        <v/>
      </c>
      <c r="X29" s="37" t="e">
        <f>IF(AND('Mapa final'!#REF!="Media",'Mapa final'!#REF!="Moderado"),CONCATENATE("R4C",'Mapa final'!#REF!),"")</f>
        <v>#REF!</v>
      </c>
      <c r="Y29" s="37" t="str">
        <f>IF(AND('Mapa final'!$Y$39="Media",'Mapa final'!$AA$39="Moderado"),CONCATENATE("R4C",'Mapa final'!$O$39),"")</f>
        <v/>
      </c>
      <c r="Z29" s="37" t="e">
        <f>IF(AND('Mapa final'!#REF!="Media",'Mapa final'!#REF!="Moderado"),CONCATENATE("R4C",'Mapa final'!#REF!),"")</f>
        <v>#REF!</v>
      </c>
      <c r="AA29" s="38" t="e">
        <f>IF(AND('Mapa final'!#REF!="Media",'Mapa final'!#REF!="Moderado"),CONCATENATE("R4C",'Mapa final'!#REF!),"")</f>
        <v>#REF!</v>
      </c>
      <c r="AB29" s="21" t="str">
        <f>IF(AND('Mapa final'!$Y$37="Media",'Mapa final'!$AA$37="Mayor"),CONCATENATE("R4C",'Mapa final'!$O$37),"")</f>
        <v/>
      </c>
      <c r="AC29" s="22" t="str">
        <f>IF(AND('Mapa final'!$Y$38="Media",'Mapa final'!$AA$38="Mayor"),CONCATENATE("R4C",'Mapa final'!$O$38),"")</f>
        <v/>
      </c>
      <c r="AD29" s="22" t="e">
        <f>IF(AND('Mapa final'!#REF!="Media",'Mapa final'!#REF!="Mayor"),CONCATENATE("R4C",'Mapa final'!#REF!),"")</f>
        <v>#REF!</v>
      </c>
      <c r="AE29" s="22" t="str">
        <f>IF(AND('Mapa final'!$Y$39="Media",'Mapa final'!$AA$39="Mayor"),CONCATENATE("R4C",'Mapa final'!$O$39),"")</f>
        <v/>
      </c>
      <c r="AF29" s="22" t="e">
        <f>IF(AND('Mapa final'!#REF!="Media",'Mapa final'!#REF!="Mayor"),CONCATENATE("R4C",'Mapa final'!#REF!),"")</f>
        <v>#REF!</v>
      </c>
      <c r="AG29" s="23" t="e">
        <f>IF(AND('Mapa final'!#REF!="Media",'Mapa final'!#REF!="Mayor"),CONCATENATE("R4C",'Mapa final'!#REF!),"")</f>
        <v>#REF!</v>
      </c>
      <c r="AH29" s="24" t="str">
        <f>IF(AND('Mapa final'!$Y$37="Media",'Mapa final'!$AA$37="Catastrófico"),CONCATENATE("R4C",'Mapa final'!$O$37),"")</f>
        <v/>
      </c>
      <c r="AI29" s="25" t="str">
        <f>IF(AND('Mapa final'!$Y$38="Media",'Mapa final'!$AA$38="Catastrófico"),CONCATENATE("R4C",'Mapa final'!$O$38),"")</f>
        <v/>
      </c>
      <c r="AJ29" s="25" t="e">
        <f>IF(AND('Mapa final'!#REF!="Media",'Mapa final'!#REF!="Catastrófico"),CONCATENATE("R4C",'Mapa final'!#REF!),"")</f>
        <v>#REF!</v>
      </c>
      <c r="AK29" s="25" t="str">
        <f>IF(AND('Mapa final'!$Y$39="Media",'Mapa final'!$AA$39="Catastrófico"),CONCATENATE("R4C",'Mapa final'!$O$39),"")</f>
        <v/>
      </c>
      <c r="AL29" s="25" t="e">
        <f>IF(AND('Mapa final'!#REF!="Media",'Mapa final'!#REF!="Catastrófico"),CONCATENATE("R4C",'Mapa final'!#REF!),"")</f>
        <v>#REF!</v>
      </c>
      <c r="AM29" s="26" t="e">
        <f>IF(AND('Mapa final'!#REF!="Media",'Mapa final'!#REF!="Catastrófico"),CONCATENATE("R4C",'Mapa final'!#REF!),"")</f>
        <v>#REF!</v>
      </c>
      <c r="AN29" s="1"/>
      <c r="AO29" s="272"/>
      <c r="AP29" s="218"/>
      <c r="AQ29" s="218"/>
      <c r="AR29" s="218"/>
      <c r="AS29" s="218"/>
      <c r="AT29" s="273"/>
    </row>
    <row r="30" spans="2:46" ht="15" customHeight="1" x14ac:dyDescent="0.25">
      <c r="B30" s="263"/>
      <c r="C30" s="218"/>
      <c r="D30" s="219"/>
      <c r="E30" s="230"/>
      <c r="F30" s="218"/>
      <c r="G30" s="218"/>
      <c r="H30" s="218"/>
      <c r="I30" s="219"/>
      <c r="J30" s="36" t="str">
        <f>IF(AND('Mapa final'!$Y$44="Media",'Mapa final'!$AA$44="Leve"),CONCATENATE("R5C",'Mapa final'!$O$44),"")</f>
        <v/>
      </c>
      <c r="K30" s="37" t="str">
        <f>IF(AND('Mapa final'!$Y$45="Media",'Mapa final'!$AA$45="Leve"),CONCATENATE("R5C",'Mapa final'!$O$45),"")</f>
        <v/>
      </c>
      <c r="L30" s="37" t="str">
        <f>IF(AND('Mapa final'!$Y$46="Media",'Mapa final'!$AA$46="Leve"),CONCATENATE("R5C",'Mapa final'!$O$46),"")</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final'!$Y$44="Media",'Mapa final'!$AA$44="Menor"),CONCATENATE("R5C",'Mapa final'!$O$44),"")</f>
        <v/>
      </c>
      <c r="Q30" s="37" t="str">
        <f>IF(AND('Mapa final'!$Y$45="Media",'Mapa final'!$AA$45="Menor"),CONCATENATE("R5C",'Mapa final'!$O$45),"")</f>
        <v/>
      </c>
      <c r="R30" s="37" t="str">
        <f>IF(AND('Mapa final'!$Y$46="Media",'Mapa final'!$AA$46="Menor"),CONCATENATE("R5C",'Mapa final'!$O$46),"")</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final'!$Y$44="Media",'Mapa final'!$AA$44="Moderado"),CONCATENATE("R5C",'Mapa final'!$O$44),"")</f>
        <v/>
      </c>
      <c r="W30" s="37" t="str">
        <f>IF(AND('Mapa final'!$Y$45="Media",'Mapa final'!$AA$45="Moderado"),CONCATENATE("R5C",'Mapa final'!$O$45),"")</f>
        <v/>
      </c>
      <c r="X30" s="37" t="str">
        <f>IF(AND('Mapa final'!$Y$46="Media",'Mapa final'!$AA$46="Moderado"),CONCATENATE("R5C",'Mapa final'!$O$46),"")</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final'!$Y$44="Media",'Mapa final'!$AA$44="Mayor"),CONCATENATE("R5C",'Mapa final'!$O$44),"")</f>
        <v/>
      </c>
      <c r="AC30" s="22" t="str">
        <f>IF(AND('Mapa final'!$Y$45="Media",'Mapa final'!$AA$45="Mayor"),CONCATENATE("R5C",'Mapa final'!$O$45),"")</f>
        <v/>
      </c>
      <c r="AD30" s="22" t="str">
        <f>IF(AND('Mapa final'!$Y$46="Media",'Mapa final'!$AA$46="Mayor"),CONCATENATE("R5C",'Mapa final'!$O$46),"")</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final'!$Y$44="Media",'Mapa final'!$AA$44="Catastrófico"),CONCATENATE("R5C",'Mapa final'!$O$44),"")</f>
        <v/>
      </c>
      <c r="AI30" s="25" t="str">
        <f>IF(AND('Mapa final'!$Y$45="Media",'Mapa final'!$AA$45="Catastrófico"),CONCATENATE("R5C",'Mapa final'!$O$45),"")</f>
        <v/>
      </c>
      <c r="AJ30" s="25" t="str">
        <f>IF(AND('Mapa final'!$Y$46="Media",'Mapa final'!$AA$46="Catastrófico"),CONCATENATE("R5C",'Mapa final'!$O$46),"")</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72"/>
      <c r="AP30" s="218"/>
      <c r="AQ30" s="218"/>
      <c r="AR30" s="218"/>
      <c r="AS30" s="218"/>
      <c r="AT30" s="273"/>
    </row>
    <row r="31" spans="2:46" ht="15" customHeight="1" x14ac:dyDescent="0.25">
      <c r="B31" s="263"/>
      <c r="C31" s="218"/>
      <c r="D31" s="219"/>
      <c r="E31" s="230"/>
      <c r="F31" s="218"/>
      <c r="G31" s="218"/>
      <c r="H31" s="218"/>
      <c r="I31" s="219"/>
      <c r="J31" s="36" t="str">
        <f>IF(AND('Mapa final'!$Y$51="Media",'Mapa final'!$AA$51="Leve"),CONCATENATE("R6C",'Mapa final'!$O$51),"")</f>
        <v/>
      </c>
      <c r="K31" s="37" t="str">
        <f>IF(AND('Mapa final'!$Y$52="Media",'Mapa final'!$AA$52="Leve"),CONCATENATE("R6C",'Mapa final'!$O$52),"")</f>
        <v/>
      </c>
      <c r="L31" s="37" t="str">
        <f>IF(AND('Mapa final'!$Y$53="Media",'Mapa final'!$AA$53="Leve"),CONCATENATE("R6C",'Mapa final'!$O$53),"")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final'!$Y$51="Media",'Mapa final'!$AA$51="Menor"),CONCATENATE("R6C",'Mapa final'!$O$51),"")</f>
        <v/>
      </c>
      <c r="Q31" s="37" t="str">
        <f>IF(AND('Mapa final'!$Y$52="Media",'Mapa final'!$AA$52="Menor"),CONCATENATE("R6C",'Mapa final'!$O$52),"")</f>
        <v/>
      </c>
      <c r="R31" s="37" t="str">
        <f>IF(AND('Mapa final'!$Y$53="Media",'Mapa final'!$AA$53="Menor"),CONCATENATE("R6C",'Mapa final'!$O$53),"")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final'!$Y$51="Media",'Mapa final'!$AA$51="Moderado"),CONCATENATE("R6C",'Mapa final'!$O$51),"")</f>
        <v/>
      </c>
      <c r="W31" s="37" t="str">
        <f>IF(AND('Mapa final'!$Y$52="Media",'Mapa final'!$AA$52="Moderado"),CONCATENATE("R6C",'Mapa final'!$O$52),"")</f>
        <v/>
      </c>
      <c r="X31" s="37" t="str">
        <f>IF(AND('Mapa final'!$Y$53="Media",'Mapa final'!$AA$53="Moderado"),CONCATENATE("R6C",'Mapa final'!$O$53),"")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final'!$Y$51="Media",'Mapa final'!$AA$51="Mayor"),CONCATENATE("R6C",'Mapa final'!$O$51),"")</f>
        <v/>
      </c>
      <c r="AC31" s="22" t="str">
        <f>IF(AND('Mapa final'!$Y$52="Media",'Mapa final'!$AA$52="Mayor"),CONCATENATE("R6C",'Mapa final'!$O$52),"")</f>
        <v/>
      </c>
      <c r="AD31" s="22" t="str">
        <f>IF(AND('Mapa final'!$Y$53="Media",'Mapa final'!$AA$53="Mayor"),CONCATENATE("R6C",'Mapa final'!$O$53),"")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final'!$Y$51="Media",'Mapa final'!$AA$51="Catastrófico"),CONCATENATE("R6C",'Mapa final'!$O$51),"")</f>
        <v/>
      </c>
      <c r="AI31" s="25" t="str">
        <f>IF(AND('Mapa final'!$Y$52="Media",'Mapa final'!$AA$52="Catastrófico"),CONCATENATE("R6C",'Mapa final'!$O$52),"")</f>
        <v/>
      </c>
      <c r="AJ31" s="25" t="str">
        <f>IF(AND('Mapa final'!$Y$53="Media",'Mapa final'!$AA$53="Catastrófico"),CONCATENATE("R6C",'Mapa final'!$O$53),"")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72"/>
      <c r="AP31" s="218"/>
      <c r="AQ31" s="218"/>
      <c r="AR31" s="218"/>
      <c r="AS31" s="218"/>
      <c r="AT31" s="273"/>
    </row>
    <row r="32" spans="2:46" ht="15" customHeight="1" x14ac:dyDescent="0.25">
      <c r="B32" s="263"/>
      <c r="C32" s="218"/>
      <c r="D32" s="219"/>
      <c r="E32" s="230"/>
      <c r="F32" s="218"/>
      <c r="G32" s="218"/>
      <c r="H32" s="218"/>
      <c r="I32" s="219"/>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72"/>
      <c r="AP32" s="218"/>
      <c r="AQ32" s="218"/>
      <c r="AR32" s="218"/>
      <c r="AS32" s="218"/>
      <c r="AT32" s="273"/>
    </row>
    <row r="33" spans="2:46" ht="15" customHeight="1" x14ac:dyDescent="0.25">
      <c r="B33" s="263"/>
      <c r="C33" s="218"/>
      <c r="D33" s="219"/>
      <c r="E33" s="230"/>
      <c r="F33" s="218"/>
      <c r="G33" s="218"/>
      <c r="H33" s="218"/>
      <c r="I33" s="219"/>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72"/>
      <c r="AP33" s="218"/>
      <c r="AQ33" s="218"/>
      <c r="AR33" s="218"/>
      <c r="AS33" s="218"/>
      <c r="AT33" s="273"/>
    </row>
    <row r="34" spans="2:46" ht="15" customHeight="1" x14ac:dyDescent="0.25">
      <c r="B34" s="263"/>
      <c r="C34" s="218"/>
      <c r="D34" s="219"/>
      <c r="E34" s="230"/>
      <c r="F34" s="218"/>
      <c r="G34" s="218"/>
      <c r="H34" s="218"/>
      <c r="I34" s="219"/>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72"/>
      <c r="AP34" s="218"/>
      <c r="AQ34" s="218"/>
      <c r="AR34" s="218"/>
      <c r="AS34" s="218"/>
      <c r="AT34" s="273"/>
    </row>
    <row r="35" spans="2:46" ht="15.75" customHeight="1" x14ac:dyDescent="0.25">
      <c r="B35" s="263"/>
      <c r="C35" s="218"/>
      <c r="D35" s="219"/>
      <c r="E35" s="253"/>
      <c r="F35" s="254"/>
      <c r="G35" s="254"/>
      <c r="H35" s="254"/>
      <c r="I35" s="257"/>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74"/>
      <c r="AP35" s="275"/>
      <c r="AQ35" s="275"/>
      <c r="AR35" s="275"/>
      <c r="AS35" s="275"/>
      <c r="AT35" s="276"/>
    </row>
    <row r="36" spans="2:46" ht="15" customHeight="1" x14ac:dyDescent="0.25">
      <c r="B36" s="263"/>
      <c r="C36" s="218"/>
      <c r="D36" s="219"/>
      <c r="E36" s="281" t="s">
        <v>101</v>
      </c>
      <c r="F36" s="252"/>
      <c r="G36" s="252"/>
      <c r="H36" s="252"/>
      <c r="I36" s="252"/>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5" t="s">
        <v>102</v>
      </c>
      <c r="AP36" s="270"/>
      <c r="AQ36" s="270"/>
      <c r="AR36" s="270"/>
      <c r="AS36" s="270"/>
      <c r="AT36" s="271"/>
    </row>
    <row r="37" spans="2:46" ht="15" customHeight="1" x14ac:dyDescent="0.25">
      <c r="B37" s="263"/>
      <c r="C37" s="218"/>
      <c r="D37" s="219"/>
      <c r="E37" s="230"/>
      <c r="F37" s="218"/>
      <c r="G37" s="218"/>
      <c r="H37" s="218"/>
      <c r="I37" s="218"/>
      <c r="J37" s="45" t="str">
        <f>IF(AND('Mapa final'!$Y$23="Baja",'Mapa final'!$AA$23="Leve"),CONCATENATE("R2C",'Mapa final'!$O$23),"")</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final'!$Y$24="Baja",'Mapa final'!$AA$24="Leve"),CONCATENATE("R2C",'Mapa final'!$O$24),"")</f>
        <v/>
      </c>
      <c r="O37" s="47" t="str">
        <f>IF(AND('Mapa final'!$Y$25="Baja",'Mapa final'!$AA$25="Leve"),CONCATENATE("R2C",'Mapa final'!$O$25),"")</f>
        <v/>
      </c>
      <c r="P37" s="36" t="str">
        <f>IF(AND('Mapa final'!$Y$23="Baja",'Mapa final'!$AA$23="Menor"),CONCATENATE("R2C",'Mapa final'!$O$23),"")</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final'!$Y$24="Baja",'Mapa final'!$AA$24="Menor"),CONCATENATE("R2C",'Mapa final'!$O$24),"")</f>
        <v/>
      </c>
      <c r="U37" s="38" t="str">
        <f>IF(AND('Mapa final'!$Y$25="Baja",'Mapa final'!$AA$25="Menor"),CONCATENATE("R2C",'Mapa final'!$O$25),"")</f>
        <v/>
      </c>
      <c r="V37" s="36" t="str">
        <f>IF(AND('Mapa final'!$Y$23="Baja",'Mapa final'!$AA$23="Moderado"),CONCATENATE("R2C",'Mapa final'!$O$23),"")</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final'!$Y$24="Baja",'Mapa final'!$AA$24="Moderado"),CONCATENATE("R2C",'Mapa final'!$O$24),"")</f>
        <v/>
      </c>
      <c r="AA37" s="38" t="str">
        <f>IF(AND('Mapa final'!$Y$25="Baja",'Mapa final'!$AA$25="Moderado"),CONCATENATE("R2C",'Mapa final'!$O$25),"")</f>
        <v/>
      </c>
      <c r="AB37" s="21" t="str">
        <f>IF(AND('Mapa final'!$Y$23="Baja",'Mapa final'!$AA$23="Mayor"),CONCATENATE("R2C",'Mapa final'!$O$23),"")</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final'!$Y$24="Baja",'Mapa final'!$AA$24="Mayor"),CONCATENATE("R2C",'Mapa final'!$O$24),"")</f>
        <v/>
      </c>
      <c r="AG37" s="23" t="str">
        <f>IF(AND('Mapa final'!$Y$25="Baja",'Mapa final'!$AA$25="Mayor"),CONCATENATE("R2C",'Mapa final'!$O$25),"")</f>
        <v/>
      </c>
      <c r="AH37" s="24" t="str">
        <f>IF(AND('Mapa final'!$Y$23="Baja",'Mapa final'!$AA$23="Catastrófico"),CONCATENATE("R2C",'Mapa final'!$O$23),"")</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final'!$Y$24="Baja",'Mapa final'!$AA$24="Catastrófico"),CONCATENATE("R2C",'Mapa final'!$O$24),"")</f>
        <v/>
      </c>
      <c r="AM37" s="26" t="str">
        <f>IF(AND('Mapa final'!$Y$25="Baja",'Mapa final'!$AA$25="Catastrófico"),CONCATENATE("R2C",'Mapa final'!$O$25),"")</f>
        <v/>
      </c>
      <c r="AN37" s="1"/>
      <c r="AO37" s="272"/>
      <c r="AP37" s="218"/>
      <c r="AQ37" s="218"/>
      <c r="AR37" s="218"/>
      <c r="AS37" s="218"/>
      <c r="AT37" s="273"/>
    </row>
    <row r="38" spans="2:46" ht="15" customHeight="1" x14ac:dyDescent="0.25">
      <c r="B38" s="263"/>
      <c r="C38" s="218"/>
      <c r="D38" s="219"/>
      <c r="E38" s="230"/>
      <c r="F38" s="218"/>
      <c r="G38" s="218"/>
      <c r="H38" s="218"/>
      <c r="I38" s="218"/>
      <c r="J38" s="45" t="str">
        <f>IF(AND('Mapa final'!$Y$30="Baja",'Mapa final'!$AA$30="Leve"),CONCATENATE("R3C",'Mapa final'!$O$30),"")</f>
        <v/>
      </c>
      <c r="K38" s="46" t="str">
        <f>IF(AND('Mapa final'!$Y$31="Baja",'Mapa final'!$AA$31="Leve"),CONCATENATE("R3C",'Mapa final'!$O$31),"")</f>
        <v/>
      </c>
      <c r="L38" s="46" t="str">
        <f>IF(AND('Mapa final'!$Y$32="Baja",'Mapa final'!$AA$32="Leve"),CONCATENATE("R3C",'Mapa final'!$O$32),"")</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final'!$Y$30="Baja",'Mapa final'!$AA$30="Menor"),CONCATENATE("R3C",'Mapa final'!$O$30),"")</f>
        <v/>
      </c>
      <c r="Q38" s="37" t="str">
        <f>IF(AND('Mapa final'!$Y$31="Baja",'Mapa final'!$AA$31="Menor"),CONCATENATE("R3C",'Mapa final'!$O$31),"")</f>
        <v/>
      </c>
      <c r="R38" s="37" t="str">
        <f>IF(AND('Mapa final'!$Y$32="Baja",'Mapa final'!$AA$32="Menor"),CONCATENATE("R3C",'Mapa final'!$O$32),"")</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final'!$Y$30="Baja",'Mapa final'!$AA$30="Moderado"),CONCATENATE("R3C",'Mapa final'!$O$30),"")</f>
        <v/>
      </c>
      <c r="W38" s="37" t="str">
        <f>IF(AND('Mapa final'!$Y$31="Baja",'Mapa final'!$AA$31="Moderado"),CONCATENATE("R3C",'Mapa final'!$O$31),"")</f>
        <v/>
      </c>
      <c r="X38" s="37" t="str">
        <f>IF(AND('Mapa final'!$Y$32="Baja",'Mapa final'!$AA$32="Moderado"),CONCATENATE("R3C",'Mapa final'!$O$32),"")</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final'!$Y$30="Baja",'Mapa final'!$AA$30="Mayor"),CONCATENATE("R3C",'Mapa final'!$O$30),"")</f>
        <v/>
      </c>
      <c r="AC38" s="22" t="str">
        <f>IF(AND('Mapa final'!$Y$31="Baja",'Mapa final'!$AA$31="Mayor"),CONCATENATE("R3C",'Mapa final'!$O$31),"")</f>
        <v/>
      </c>
      <c r="AD38" s="22" t="str">
        <f>IF(AND('Mapa final'!$Y$32="Baja",'Mapa final'!$AA$32="Mayor"),CONCATENATE("R3C",'Mapa final'!$O$32),"")</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final'!$Y$30="Baja",'Mapa final'!$AA$30="Catastrófico"),CONCATENATE("R3C",'Mapa final'!$O$30),"")</f>
        <v/>
      </c>
      <c r="AI38" s="25" t="str">
        <f>IF(AND('Mapa final'!$Y$31="Baja",'Mapa final'!$AA$31="Catastrófico"),CONCATENATE("R3C",'Mapa final'!$O$31),"")</f>
        <v/>
      </c>
      <c r="AJ38" s="25" t="str">
        <f>IF(AND('Mapa final'!$Y$32="Baja",'Mapa final'!$AA$32="Catastrófico"),CONCATENATE("R3C",'Mapa final'!$O$32),"")</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72"/>
      <c r="AP38" s="218"/>
      <c r="AQ38" s="218"/>
      <c r="AR38" s="218"/>
      <c r="AS38" s="218"/>
      <c r="AT38" s="273"/>
    </row>
    <row r="39" spans="2:46" ht="15" customHeight="1" x14ac:dyDescent="0.25">
      <c r="B39" s="263"/>
      <c r="C39" s="218"/>
      <c r="D39" s="219"/>
      <c r="E39" s="230"/>
      <c r="F39" s="218"/>
      <c r="G39" s="218"/>
      <c r="H39" s="218"/>
      <c r="I39" s="218"/>
      <c r="J39" s="45" t="str">
        <f>IF(AND('Mapa final'!$Y$37="Baja",'Mapa final'!$AA$37="Leve"),CONCATENATE("R4C",'Mapa final'!$O$37),"")</f>
        <v/>
      </c>
      <c r="K39" s="46" t="str">
        <f>IF(AND('Mapa final'!$Y$38="Baja",'Mapa final'!$AA$38="Leve"),CONCATENATE("R4C",'Mapa final'!$O$38),"")</f>
        <v/>
      </c>
      <c r="L39" s="46" t="e">
        <f>IF(AND('Mapa final'!#REF!="Baja",'Mapa final'!#REF!="Leve"),CONCATENATE("R4C",'Mapa final'!#REF!),"")</f>
        <v>#REF!</v>
      </c>
      <c r="M39" s="46" t="str">
        <f>IF(AND('Mapa final'!$Y$39="Baja",'Mapa final'!$AA$39="Leve"),CONCATENATE("R4C",'Mapa final'!$O$39),"")</f>
        <v/>
      </c>
      <c r="N39" s="46" t="e">
        <f>IF(AND('Mapa final'!#REF!="Baja",'Mapa final'!#REF!="Leve"),CONCATENATE("R4C",'Mapa final'!#REF!),"")</f>
        <v>#REF!</v>
      </c>
      <c r="O39" s="47" t="e">
        <f>IF(AND('Mapa final'!#REF!="Baja",'Mapa final'!#REF!="Leve"),CONCATENATE("R4C",'Mapa final'!#REF!),"")</f>
        <v>#REF!</v>
      </c>
      <c r="P39" s="36" t="str">
        <f>IF(AND('Mapa final'!$Y$37="Baja",'Mapa final'!$AA$37="Menor"),CONCATENATE("R4C",'Mapa final'!$O$37),"")</f>
        <v/>
      </c>
      <c r="Q39" s="37" t="str">
        <f>IF(AND('Mapa final'!$Y$38="Baja",'Mapa final'!$AA$38="Menor"),CONCATENATE("R4C",'Mapa final'!$O$38),"")</f>
        <v/>
      </c>
      <c r="R39" s="37" t="e">
        <f>IF(AND('Mapa final'!#REF!="Baja",'Mapa final'!#REF!="Menor"),CONCATENATE("R4C",'Mapa final'!#REF!),"")</f>
        <v>#REF!</v>
      </c>
      <c r="S39" s="37" t="str">
        <f>IF(AND('Mapa final'!$Y$39="Baja",'Mapa final'!$AA$39="Menor"),CONCATENATE("R4C",'Mapa final'!$O$39),"")</f>
        <v/>
      </c>
      <c r="T39" s="37" t="e">
        <f>IF(AND('Mapa final'!#REF!="Baja",'Mapa final'!#REF!="Menor"),CONCATENATE("R4C",'Mapa final'!#REF!),"")</f>
        <v>#REF!</v>
      </c>
      <c r="U39" s="38" t="e">
        <f>IF(AND('Mapa final'!#REF!="Baja",'Mapa final'!#REF!="Menor"),CONCATENATE("R4C",'Mapa final'!#REF!),"")</f>
        <v>#REF!</v>
      </c>
      <c r="V39" s="36" t="str">
        <f>IF(AND('Mapa final'!$Y$37="Baja",'Mapa final'!$AA$37="Moderado"),CONCATENATE("R4C",'Mapa final'!$O$37),"")</f>
        <v/>
      </c>
      <c r="W39" s="37" t="str">
        <f>IF(AND('Mapa final'!$Y$38="Baja",'Mapa final'!$AA$38="Moderado"),CONCATENATE("R4C",'Mapa final'!$O$38),"")</f>
        <v/>
      </c>
      <c r="X39" s="37" t="e">
        <f>IF(AND('Mapa final'!#REF!="Baja",'Mapa final'!#REF!="Moderado"),CONCATENATE("R4C",'Mapa final'!#REF!),"")</f>
        <v>#REF!</v>
      </c>
      <c r="Y39" s="37" t="str">
        <f>IF(AND('Mapa final'!$Y$39="Baja",'Mapa final'!$AA$39="Moderado"),CONCATENATE("R4C",'Mapa final'!$O$39),"")</f>
        <v/>
      </c>
      <c r="Z39" s="37" t="e">
        <f>IF(AND('Mapa final'!#REF!="Baja",'Mapa final'!#REF!="Moderado"),CONCATENATE("R4C",'Mapa final'!#REF!),"")</f>
        <v>#REF!</v>
      </c>
      <c r="AA39" s="38" t="e">
        <f>IF(AND('Mapa final'!#REF!="Baja",'Mapa final'!#REF!="Moderado"),CONCATENATE("R4C",'Mapa final'!#REF!),"")</f>
        <v>#REF!</v>
      </c>
      <c r="AB39" s="21" t="str">
        <f>IF(AND('Mapa final'!$Y$37="Baja",'Mapa final'!$AA$37="Mayor"),CONCATENATE("R4C",'Mapa final'!$O$37),"")</f>
        <v/>
      </c>
      <c r="AC39" s="22" t="str">
        <f>IF(AND('Mapa final'!$Y$38="Baja",'Mapa final'!$AA$38="Mayor"),CONCATENATE("R4C",'Mapa final'!$O$38),"")</f>
        <v/>
      </c>
      <c r="AD39" s="22" t="e">
        <f>IF(AND('Mapa final'!#REF!="Baja",'Mapa final'!#REF!="Mayor"),CONCATENATE("R4C",'Mapa final'!#REF!),"")</f>
        <v>#REF!</v>
      </c>
      <c r="AE39" s="22" t="str">
        <f>IF(AND('Mapa final'!$Y$39="Baja",'Mapa final'!$AA$39="Mayor"),CONCATENATE("R4C",'Mapa final'!$O$39),"")</f>
        <v/>
      </c>
      <c r="AF39" s="22" t="e">
        <f>IF(AND('Mapa final'!#REF!="Baja",'Mapa final'!#REF!="Mayor"),CONCATENATE("R4C",'Mapa final'!#REF!),"")</f>
        <v>#REF!</v>
      </c>
      <c r="AG39" s="23" t="e">
        <f>IF(AND('Mapa final'!#REF!="Baja",'Mapa final'!#REF!="Mayor"),CONCATENATE("R4C",'Mapa final'!#REF!),"")</f>
        <v>#REF!</v>
      </c>
      <c r="AH39" s="24" t="str">
        <f>IF(AND('Mapa final'!$Y$37="Baja",'Mapa final'!$AA$37="Catastrófico"),CONCATENATE("R4C",'Mapa final'!$O$37),"")</f>
        <v/>
      </c>
      <c r="AI39" s="25" t="str">
        <f>IF(AND('Mapa final'!$Y$38="Baja",'Mapa final'!$AA$38="Catastrófico"),CONCATENATE("R4C",'Mapa final'!$O$38),"")</f>
        <v/>
      </c>
      <c r="AJ39" s="25" t="e">
        <f>IF(AND('Mapa final'!#REF!="Baja",'Mapa final'!#REF!="Catastrófico"),CONCATENATE("R4C",'Mapa final'!#REF!),"")</f>
        <v>#REF!</v>
      </c>
      <c r="AK39" s="25" t="str">
        <f>IF(AND('Mapa final'!$Y$39="Baja",'Mapa final'!$AA$39="Catastrófico"),CONCATENATE("R4C",'Mapa final'!$O$39),"")</f>
        <v/>
      </c>
      <c r="AL39" s="25" t="e">
        <f>IF(AND('Mapa final'!#REF!="Baja",'Mapa final'!#REF!="Catastrófico"),CONCATENATE("R4C",'Mapa final'!#REF!),"")</f>
        <v>#REF!</v>
      </c>
      <c r="AM39" s="26" t="e">
        <f>IF(AND('Mapa final'!#REF!="Baja",'Mapa final'!#REF!="Catastrófico"),CONCATENATE("R4C",'Mapa final'!#REF!),"")</f>
        <v>#REF!</v>
      </c>
      <c r="AN39" s="1"/>
      <c r="AO39" s="272"/>
      <c r="AP39" s="218"/>
      <c r="AQ39" s="218"/>
      <c r="AR39" s="218"/>
      <c r="AS39" s="218"/>
      <c r="AT39" s="273"/>
    </row>
    <row r="40" spans="2:46" ht="15" customHeight="1" x14ac:dyDescent="0.25">
      <c r="B40" s="263"/>
      <c r="C40" s="218"/>
      <c r="D40" s="219"/>
      <c r="E40" s="230"/>
      <c r="F40" s="218"/>
      <c r="G40" s="218"/>
      <c r="H40" s="218"/>
      <c r="I40" s="218"/>
      <c r="J40" s="45" t="str">
        <f>IF(AND('Mapa final'!$Y$44="Baja",'Mapa final'!$AA$44="Leve"),CONCATENATE("R5C",'Mapa final'!$O$44),"")</f>
        <v/>
      </c>
      <c r="K40" s="46" t="str">
        <f>IF(AND('Mapa final'!$Y$45="Baja",'Mapa final'!$AA$45="Leve"),CONCATENATE("R5C",'Mapa final'!$O$45),"")</f>
        <v/>
      </c>
      <c r="L40" s="46" t="str">
        <f>IF(AND('Mapa final'!$Y$46="Baja",'Mapa final'!$AA$46="Leve"),CONCATENATE("R5C",'Mapa final'!$O$46),"")</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final'!$Y$44="Baja",'Mapa final'!$AA$44="Menor"),CONCATENATE("R5C",'Mapa final'!$O$44),"")</f>
        <v>R5C1</v>
      </c>
      <c r="Q40" s="37" t="str">
        <f>IF(AND('Mapa final'!$Y$45="Baja",'Mapa final'!$AA$45="Menor"),CONCATENATE("R5C",'Mapa final'!$O$45),"")</f>
        <v/>
      </c>
      <c r="R40" s="37" t="str">
        <f>IF(AND('Mapa final'!$Y$46="Baja",'Mapa final'!$AA$46="Menor"),CONCATENATE("R5C",'Mapa final'!$O$46),"")</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final'!$Y$44="Baja",'Mapa final'!$AA$44="Moderado"),CONCATENATE("R5C",'Mapa final'!$O$44),"")</f>
        <v/>
      </c>
      <c r="W40" s="37" t="str">
        <f>IF(AND('Mapa final'!$Y$45="Baja",'Mapa final'!$AA$45="Moderado"),CONCATENATE("R5C",'Mapa final'!$O$45),"")</f>
        <v/>
      </c>
      <c r="X40" s="37" t="str">
        <f>IF(AND('Mapa final'!$Y$46="Baja",'Mapa final'!$AA$46="Moderado"),CONCATENATE("R5C",'Mapa final'!$O$46),"")</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final'!$Y$44="Baja",'Mapa final'!$AA$44="Mayor"),CONCATENATE("R5C",'Mapa final'!$O$44),"")</f>
        <v/>
      </c>
      <c r="AC40" s="22" t="str">
        <f>IF(AND('Mapa final'!$Y$45="Baja",'Mapa final'!$AA$45="Mayor"),CONCATENATE("R5C",'Mapa final'!$O$45),"")</f>
        <v/>
      </c>
      <c r="AD40" s="22" t="str">
        <f>IF(AND('Mapa final'!$Y$46="Baja",'Mapa final'!$AA$46="Mayor"),CONCATENATE("R5C",'Mapa final'!$O$46),"")</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final'!$Y$44="Baja",'Mapa final'!$AA$44="Catastrófico"),CONCATENATE("R5C",'Mapa final'!$O$44),"")</f>
        <v/>
      </c>
      <c r="AI40" s="25" t="str">
        <f>IF(AND('Mapa final'!$Y$45="Baja",'Mapa final'!$AA$45="Catastrófico"),CONCATENATE("R5C",'Mapa final'!$O$45),"")</f>
        <v/>
      </c>
      <c r="AJ40" s="25" t="str">
        <f>IF(AND('Mapa final'!$Y$46="Baja",'Mapa final'!$AA$46="Catastrófico"),CONCATENATE("R5C",'Mapa final'!$O$46),"")</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72"/>
      <c r="AP40" s="218"/>
      <c r="AQ40" s="218"/>
      <c r="AR40" s="218"/>
      <c r="AS40" s="218"/>
      <c r="AT40" s="273"/>
    </row>
    <row r="41" spans="2:46" ht="15" customHeight="1" x14ac:dyDescent="0.25">
      <c r="B41" s="263"/>
      <c r="C41" s="218"/>
      <c r="D41" s="219"/>
      <c r="E41" s="230"/>
      <c r="F41" s="218"/>
      <c r="G41" s="218"/>
      <c r="H41" s="218"/>
      <c r="I41" s="218"/>
      <c r="J41" s="45" t="str">
        <f>IF(AND('Mapa final'!$Y$51="Baja",'Mapa final'!$AA$51="Leve"),CONCATENATE("R6C",'Mapa final'!$O$51),"")</f>
        <v/>
      </c>
      <c r="K41" s="46" t="str">
        <f>IF(AND('Mapa final'!$Y$52="Baja",'Mapa final'!$AA$52="Leve"),CONCATENATE("R6C",'Mapa final'!$O$52),"")</f>
        <v/>
      </c>
      <c r="L41" s="46" t="str">
        <f>IF(AND('Mapa final'!$Y$53="Baja",'Mapa final'!$AA$53="Leve"),CONCATENATE("R6C",'Mapa final'!$O$53),"")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final'!$Y$51="Baja",'Mapa final'!$AA$51="Menor"),CONCATENATE("R6C",'Mapa final'!$O$51),"")</f>
        <v/>
      </c>
      <c r="Q41" s="37" t="str">
        <f>IF(AND('Mapa final'!$Y$52="Baja",'Mapa final'!$AA$52="Menor"),CONCATENATE("R6C",'Mapa final'!$O$52),"")</f>
        <v/>
      </c>
      <c r="R41" s="37" t="str">
        <f>IF(AND('Mapa final'!$Y$53="Baja",'Mapa final'!$AA$53="Menor"),CONCATENATE("R6C",'Mapa final'!$O$53),"")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final'!$Y$51="Baja",'Mapa final'!$AA$51="Moderado"),CONCATENATE("R6C",'Mapa final'!$O$51),"")</f>
        <v/>
      </c>
      <c r="W41" s="37" t="str">
        <f>IF(AND('Mapa final'!$Y$52="Baja",'Mapa final'!$AA$52="Moderado"),CONCATENATE("R6C",'Mapa final'!$O$52),"")</f>
        <v/>
      </c>
      <c r="X41" s="37" t="str">
        <f>IF(AND('Mapa final'!$Y$53="Baja",'Mapa final'!$AA$53="Moderado"),CONCATENATE("R6C",'Mapa final'!$O$53),"")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final'!$Y$51="Baja",'Mapa final'!$AA$51="Mayor"),CONCATENATE("R6C",'Mapa final'!$O$51),"")</f>
        <v/>
      </c>
      <c r="AC41" s="22" t="str">
        <f>IF(AND('Mapa final'!$Y$52="Baja",'Mapa final'!$AA$52="Mayor"),CONCATENATE("R6C",'Mapa final'!$O$52),"")</f>
        <v/>
      </c>
      <c r="AD41" s="22" t="str">
        <f>IF(AND('Mapa final'!$Y$53="Baja",'Mapa final'!$AA$53="Mayor"),CONCATENATE("R6C",'Mapa final'!$O$53),"")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final'!$Y$51="Baja",'Mapa final'!$AA$51="Catastrófico"),CONCATENATE("R6C",'Mapa final'!$O$51),"")</f>
        <v/>
      </c>
      <c r="AI41" s="25" t="str">
        <f>IF(AND('Mapa final'!$Y$52="Baja",'Mapa final'!$AA$52="Catastrófico"),CONCATENATE("R6C",'Mapa final'!$O$52),"")</f>
        <v/>
      </c>
      <c r="AJ41" s="25" t="str">
        <f>IF(AND('Mapa final'!$Y$53="Baja",'Mapa final'!$AA$53="Catastrófico"),CONCATENATE("R6C",'Mapa final'!$O$53),"")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72"/>
      <c r="AP41" s="218"/>
      <c r="AQ41" s="218"/>
      <c r="AR41" s="218"/>
      <c r="AS41" s="218"/>
      <c r="AT41" s="273"/>
    </row>
    <row r="42" spans="2:46" ht="15" customHeight="1" x14ac:dyDescent="0.25">
      <c r="B42" s="263"/>
      <c r="C42" s="218"/>
      <c r="D42" s="219"/>
      <c r="E42" s="230"/>
      <c r="F42" s="218"/>
      <c r="G42" s="218"/>
      <c r="H42" s="218"/>
      <c r="I42" s="218"/>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72"/>
      <c r="AP42" s="218"/>
      <c r="AQ42" s="218"/>
      <c r="AR42" s="218"/>
      <c r="AS42" s="218"/>
      <c r="AT42" s="273"/>
    </row>
    <row r="43" spans="2:46" ht="15" customHeight="1" x14ac:dyDescent="0.25">
      <c r="B43" s="263"/>
      <c r="C43" s="218"/>
      <c r="D43" s="219"/>
      <c r="E43" s="230"/>
      <c r="F43" s="218"/>
      <c r="G43" s="218"/>
      <c r="H43" s="218"/>
      <c r="I43" s="218"/>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72"/>
      <c r="AP43" s="218"/>
      <c r="AQ43" s="218"/>
      <c r="AR43" s="218"/>
      <c r="AS43" s="218"/>
      <c r="AT43" s="273"/>
    </row>
    <row r="44" spans="2:46" ht="15" customHeight="1" x14ac:dyDescent="0.25">
      <c r="B44" s="263"/>
      <c r="C44" s="218"/>
      <c r="D44" s="219"/>
      <c r="E44" s="230"/>
      <c r="F44" s="218"/>
      <c r="G44" s="218"/>
      <c r="H44" s="218"/>
      <c r="I44" s="218"/>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72"/>
      <c r="AP44" s="218"/>
      <c r="AQ44" s="218"/>
      <c r="AR44" s="218"/>
      <c r="AS44" s="218"/>
      <c r="AT44" s="273"/>
    </row>
    <row r="45" spans="2:46" ht="15.75" customHeight="1" x14ac:dyDescent="0.25">
      <c r="B45" s="263"/>
      <c r="C45" s="218"/>
      <c r="D45" s="219"/>
      <c r="E45" s="253"/>
      <c r="F45" s="254"/>
      <c r="G45" s="254"/>
      <c r="H45" s="254"/>
      <c r="I45" s="254"/>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74"/>
      <c r="AP45" s="275"/>
      <c r="AQ45" s="275"/>
      <c r="AR45" s="275"/>
      <c r="AS45" s="275"/>
      <c r="AT45" s="276"/>
    </row>
    <row r="46" spans="2:46" ht="46.5" customHeight="1" x14ac:dyDescent="0.35">
      <c r="B46" s="263"/>
      <c r="C46" s="218"/>
      <c r="D46" s="219"/>
      <c r="E46" s="281" t="s">
        <v>103</v>
      </c>
      <c r="F46" s="252"/>
      <c r="G46" s="252"/>
      <c r="H46" s="252"/>
      <c r="I46" s="238"/>
      <c r="J46" s="42" t="str">
        <f>IF(AND('Mapa final'!$Y$16="Muy Baja",'Mapa final'!$AA$16="Leve"),CONCATENATE("R1C",'Mapa final'!$O$16),"")</f>
        <v/>
      </c>
      <c r="K46" s="43" t="str">
        <f>IF(AND('Mapa final'!$Y$17="Muy Baja",'Mapa final'!$AA$17="Leve"),CONCATENATE("R1C",'Mapa final'!$O$17),"")</f>
        <v>R1C2</v>
      </c>
      <c r="L46" s="43" t="str">
        <f>IF(AND('Mapa final'!$Y$18="Muy Baja",'Mapa final'!$AA$18="Leve"),CONCATENATE("R1C",'Mapa final'!$O$18),"")</f>
        <v>R1C3</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63"/>
      <c r="C47" s="218"/>
      <c r="D47" s="219"/>
      <c r="E47" s="230"/>
      <c r="F47" s="218"/>
      <c r="G47" s="218"/>
      <c r="H47" s="218"/>
      <c r="I47" s="219"/>
      <c r="J47" s="45" t="str">
        <f>IF(AND('Mapa final'!$Y$23="Muy Baja",'Mapa final'!$AA$23="Leve"),CONCATENATE("R2C",'Mapa final'!$O$23),"")</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final'!$Y$24="Muy Baja",'Mapa final'!$AA$24="Leve"),CONCATENATE("R2C",'Mapa final'!$O$24),"")</f>
        <v>R2C2</v>
      </c>
      <c r="O47" s="47" t="str">
        <f>IF(AND('Mapa final'!$Y$25="Muy Baja",'Mapa final'!$AA$25="Leve"),CONCATENATE("R2C",'Mapa final'!$O$25),"")</f>
        <v>R2C3</v>
      </c>
      <c r="P47" s="45" t="str">
        <f>IF(AND('Mapa final'!$Y$23="Muy Baja",'Mapa final'!$AA$23="Menor"),CONCATENATE("R2C",'Mapa final'!$O$23),"")</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final'!$Y$24="Muy Baja",'Mapa final'!$AA$24="Menor"),CONCATENATE("R2C",'Mapa final'!$O$24),"")</f>
        <v/>
      </c>
      <c r="U47" s="47" t="str">
        <f>IF(AND('Mapa final'!$Y$25="Muy Baja",'Mapa final'!$AA$25="Menor"),CONCATENATE("R2C",'Mapa final'!$O$25),"")</f>
        <v/>
      </c>
      <c r="V47" s="36" t="str">
        <f>IF(AND('Mapa final'!$Y$23="Muy Baja",'Mapa final'!$AA$23="Moderado"),CONCATENATE("R2C",'Mapa final'!$O$23),"")</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final'!$Y$24="Muy Baja",'Mapa final'!$AA$24="Moderado"),CONCATENATE("R2C",'Mapa final'!$O$24),"")</f>
        <v/>
      </c>
      <c r="AA47" s="38" t="str">
        <f>IF(AND('Mapa final'!$Y$25="Muy Baja",'Mapa final'!$AA$25="Moderado"),CONCATENATE("R2C",'Mapa final'!$O$25),"")</f>
        <v/>
      </c>
      <c r="AB47" s="21" t="str">
        <f>IF(AND('Mapa final'!$Y$23="Muy Baja",'Mapa final'!$AA$23="Mayor"),CONCATENATE("R2C",'Mapa final'!$O$23),"")</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final'!$Y$24="Muy Baja",'Mapa final'!$AA$24="Mayor"),CONCATENATE("R2C",'Mapa final'!$O$24),"")</f>
        <v/>
      </c>
      <c r="AG47" s="23" t="str">
        <f>IF(AND('Mapa final'!$Y$25="Muy Baja",'Mapa final'!$AA$25="Mayor"),CONCATENATE("R2C",'Mapa final'!$O$25),"")</f>
        <v/>
      </c>
      <c r="AH47" s="24" t="str">
        <f>IF(AND('Mapa final'!$Y$23="Muy Baja",'Mapa final'!$AA$23="Catastrófico"),CONCATENATE("R2C",'Mapa final'!$O$23),"")</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final'!$Y$24="Muy Baja",'Mapa final'!$AA$24="Catastrófico"),CONCATENATE("R2C",'Mapa final'!$O$24),"")</f>
        <v/>
      </c>
      <c r="AM47" s="26" t="str">
        <f>IF(AND('Mapa final'!$Y$25="Muy Baja",'Mapa final'!$AA$25="Catastrófico"),CONCATENATE("R2C",'Mapa final'!$O$25),"")</f>
        <v/>
      </c>
      <c r="AN47" s="1"/>
      <c r="AO47" s="1"/>
      <c r="AP47" s="1"/>
      <c r="AQ47" s="1"/>
      <c r="AR47" s="1"/>
      <c r="AS47" s="1"/>
      <c r="AT47" s="1"/>
    </row>
    <row r="48" spans="2:46" ht="15" customHeight="1" x14ac:dyDescent="0.25">
      <c r="B48" s="263"/>
      <c r="C48" s="218"/>
      <c r="D48" s="219"/>
      <c r="E48" s="230"/>
      <c r="F48" s="218"/>
      <c r="G48" s="218"/>
      <c r="H48" s="218"/>
      <c r="I48" s="219"/>
      <c r="J48" s="45" t="str">
        <f>IF(AND('Mapa final'!$Y$30="Muy Baja",'Mapa final'!$AA$30="Leve"),CONCATENATE("R3C",'Mapa final'!$O$30),"")</f>
        <v/>
      </c>
      <c r="K48" s="46" t="str">
        <f>IF(AND('Mapa final'!$Y$31="Muy Baja",'Mapa final'!$AA$31="Leve"),CONCATENATE("R3C",'Mapa final'!$O$31),"")</f>
        <v>R3C1</v>
      </c>
      <c r="L48" s="46" t="str">
        <f>IF(AND('Mapa final'!$Y$32="Muy Baja",'Mapa final'!$AA$32="Leve"),CONCATENATE("R3C",'Mapa final'!$O$32),"")</f>
        <v>R3C2</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final'!$Y$30="Muy Baja",'Mapa final'!$AA$30="Menor"),CONCATENATE("R3C",'Mapa final'!$O$30),"")</f>
        <v/>
      </c>
      <c r="Q48" s="46" t="str">
        <f>IF(AND('Mapa final'!$Y$31="Muy Baja",'Mapa final'!$AA$31="Menor"),CONCATENATE("R3C",'Mapa final'!$O$31),"")</f>
        <v/>
      </c>
      <c r="R48" s="46" t="str">
        <f>IF(AND('Mapa final'!$Y$32="Muy Baja",'Mapa final'!$AA$32="Menor"),CONCATENATE("R3C",'Mapa final'!$O$32),"")</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final'!$Y$30="Muy Baja",'Mapa final'!$AA$30="Moderado"),CONCATENATE("R3C",'Mapa final'!$O$30),"")</f>
        <v/>
      </c>
      <c r="W48" s="37" t="str">
        <f>IF(AND('Mapa final'!$Y$31="Muy Baja",'Mapa final'!$AA$31="Moderado"),CONCATENATE("R3C",'Mapa final'!$O$31),"")</f>
        <v/>
      </c>
      <c r="X48" s="37" t="str">
        <f>IF(AND('Mapa final'!$Y$32="Muy Baja",'Mapa final'!$AA$32="Moderado"),CONCATENATE("R3C",'Mapa final'!$O$32),"")</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final'!$Y$30="Muy Baja",'Mapa final'!$AA$30="Mayor"),CONCATENATE("R3C",'Mapa final'!$O$30),"")</f>
        <v/>
      </c>
      <c r="AC48" s="22" t="str">
        <f>IF(AND('Mapa final'!$Y$31="Muy Baja",'Mapa final'!$AA$31="Mayor"),CONCATENATE("R3C",'Mapa final'!$O$31),"")</f>
        <v/>
      </c>
      <c r="AD48" s="22" t="str">
        <f>IF(AND('Mapa final'!$Y$32="Muy Baja",'Mapa final'!$AA$32="Mayor"),CONCATENATE("R3C",'Mapa final'!$O$32),"")</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final'!$Y$30="Muy Baja",'Mapa final'!$AA$30="Catastrófico"),CONCATENATE("R3C",'Mapa final'!$O$30),"")</f>
        <v/>
      </c>
      <c r="AI48" s="25" t="str">
        <f>IF(AND('Mapa final'!$Y$31="Muy Baja",'Mapa final'!$AA$31="Catastrófico"),CONCATENATE("R3C",'Mapa final'!$O$31),"")</f>
        <v/>
      </c>
      <c r="AJ48" s="25" t="str">
        <f>IF(AND('Mapa final'!$Y$32="Muy Baja",'Mapa final'!$AA$32="Catastrófico"),CONCATENATE("R3C",'Mapa final'!$O$32),"")</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63"/>
      <c r="C49" s="218"/>
      <c r="D49" s="219"/>
      <c r="E49" s="230"/>
      <c r="F49" s="218"/>
      <c r="G49" s="218"/>
      <c r="H49" s="218"/>
      <c r="I49" s="219"/>
      <c r="J49" s="45" t="str">
        <f>IF(AND('Mapa final'!$Y$37="Muy Baja",'Mapa final'!$AA$37="Leve"),CONCATENATE("R4C",'Mapa final'!$O$37),"")</f>
        <v/>
      </c>
      <c r="K49" s="46" t="str">
        <f>IF(AND('Mapa final'!$Y$38="Muy Baja",'Mapa final'!$AA$38="Leve"),CONCATENATE("R4C",'Mapa final'!$O$38),"")</f>
        <v>R4C2</v>
      </c>
      <c r="L49" s="46" t="e">
        <f>IF(AND('Mapa final'!#REF!="Muy Baja",'Mapa final'!#REF!="Leve"),CONCATENATE("R4C",'Mapa final'!#REF!),"")</f>
        <v>#REF!</v>
      </c>
      <c r="M49" s="46" t="str">
        <f>IF(AND('Mapa final'!$Y$39="Muy Baja",'Mapa final'!$AA$39="Leve"),CONCATENATE("R4C",'Mapa final'!$O$39),"")</f>
        <v>R4C3</v>
      </c>
      <c r="N49" s="46" t="e">
        <f>IF(AND('Mapa final'!#REF!="Muy Baja",'Mapa final'!#REF!="Leve"),CONCATENATE("R4C",'Mapa final'!#REF!),"")</f>
        <v>#REF!</v>
      </c>
      <c r="O49" s="47" t="e">
        <f>IF(AND('Mapa final'!#REF!="Muy Baja",'Mapa final'!#REF!="Leve"),CONCATENATE("R4C",'Mapa final'!#REF!),"")</f>
        <v>#REF!</v>
      </c>
      <c r="P49" s="45" t="str">
        <f>IF(AND('Mapa final'!$Y$37="Muy Baja",'Mapa final'!$AA$37="Menor"),CONCATENATE("R4C",'Mapa final'!$O$37),"")</f>
        <v/>
      </c>
      <c r="Q49" s="46" t="str">
        <f>IF(AND('Mapa final'!$Y$38="Muy Baja",'Mapa final'!$AA$38="Menor"),CONCATENATE("R4C",'Mapa final'!$O$38),"")</f>
        <v/>
      </c>
      <c r="R49" s="46" t="e">
        <f>IF(AND('Mapa final'!#REF!="Muy Baja",'Mapa final'!#REF!="Menor"),CONCATENATE("R4C",'Mapa final'!#REF!),"")</f>
        <v>#REF!</v>
      </c>
      <c r="S49" s="46" t="str">
        <f>IF(AND('Mapa final'!$Y$39="Muy Baja",'Mapa final'!$AA$39="Menor"),CONCATENATE("R4C",'Mapa final'!$O$39),"")</f>
        <v/>
      </c>
      <c r="T49" s="46" t="e">
        <f>IF(AND('Mapa final'!#REF!="Muy Baja",'Mapa final'!#REF!="Menor"),CONCATENATE("R4C",'Mapa final'!#REF!),"")</f>
        <v>#REF!</v>
      </c>
      <c r="U49" s="47" t="e">
        <f>IF(AND('Mapa final'!#REF!="Muy Baja",'Mapa final'!#REF!="Menor"),CONCATENATE("R4C",'Mapa final'!#REF!),"")</f>
        <v>#REF!</v>
      </c>
      <c r="V49" s="36" t="str">
        <f>IF(AND('Mapa final'!$Y$37="Muy Baja",'Mapa final'!$AA$37="Moderado"),CONCATENATE("R4C",'Mapa final'!$O$37),"")</f>
        <v/>
      </c>
      <c r="W49" s="37" t="str">
        <f>IF(AND('Mapa final'!$Y$38="Muy Baja",'Mapa final'!$AA$38="Moderado"),CONCATENATE("R4C",'Mapa final'!$O$38),"")</f>
        <v/>
      </c>
      <c r="X49" s="37" t="e">
        <f>IF(AND('Mapa final'!#REF!="Muy Baja",'Mapa final'!#REF!="Moderado"),CONCATENATE("R4C",'Mapa final'!#REF!),"")</f>
        <v>#REF!</v>
      </c>
      <c r="Y49" s="37" t="str">
        <f>IF(AND('Mapa final'!$Y$39="Muy Baja",'Mapa final'!$AA$39="Moderado"),CONCATENATE("R4C",'Mapa final'!$O$39),"")</f>
        <v/>
      </c>
      <c r="Z49" s="37" t="e">
        <f>IF(AND('Mapa final'!#REF!="Muy Baja",'Mapa final'!#REF!="Moderado"),CONCATENATE("R4C",'Mapa final'!#REF!),"")</f>
        <v>#REF!</v>
      </c>
      <c r="AA49" s="38" t="e">
        <f>IF(AND('Mapa final'!#REF!="Muy Baja",'Mapa final'!#REF!="Moderado"),CONCATENATE("R4C",'Mapa final'!#REF!),"")</f>
        <v>#REF!</v>
      </c>
      <c r="AB49" s="21" t="str">
        <f>IF(AND('Mapa final'!$Y$37="Muy Baja",'Mapa final'!$AA$37="Mayor"),CONCATENATE("R4C",'Mapa final'!$O$37),"")</f>
        <v/>
      </c>
      <c r="AC49" s="22" t="str">
        <f>IF(AND('Mapa final'!$Y$38="Muy Baja",'Mapa final'!$AA$38="Mayor"),CONCATENATE("R4C",'Mapa final'!$O$38),"")</f>
        <v/>
      </c>
      <c r="AD49" s="22" t="e">
        <f>IF(AND('Mapa final'!#REF!="Muy Baja",'Mapa final'!#REF!="Mayor"),CONCATENATE("R4C",'Mapa final'!#REF!),"")</f>
        <v>#REF!</v>
      </c>
      <c r="AE49" s="22" t="str">
        <f>IF(AND('Mapa final'!$Y$39="Muy Baja",'Mapa final'!$AA$39="Mayor"),CONCATENATE("R4C",'Mapa final'!$O$39),"")</f>
        <v/>
      </c>
      <c r="AF49" s="22" t="e">
        <f>IF(AND('Mapa final'!#REF!="Muy Baja",'Mapa final'!#REF!="Mayor"),CONCATENATE("R4C",'Mapa final'!#REF!),"")</f>
        <v>#REF!</v>
      </c>
      <c r="AG49" s="23" t="e">
        <f>IF(AND('Mapa final'!#REF!="Muy Baja",'Mapa final'!#REF!="Mayor"),CONCATENATE("R4C",'Mapa final'!#REF!),"")</f>
        <v>#REF!</v>
      </c>
      <c r="AH49" s="24" t="str">
        <f>IF(AND('Mapa final'!$Y$37="Muy Baja",'Mapa final'!$AA$37="Catastrófico"),CONCATENATE("R4C",'Mapa final'!$O$37),"")</f>
        <v/>
      </c>
      <c r="AI49" s="25" t="str">
        <f>IF(AND('Mapa final'!$Y$38="Muy Baja",'Mapa final'!$AA$38="Catastrófico"),CONCATENATE("R4C",'Mapa final'!$O$38),"")</f>
        <v/>
      </c>
      <c r="AJ49" s="25" t="e">
        <f>IF(AND('Mapa final'!#REF!="Muy Baja",'Mapa final'!#REF!="Catastrófico"),CONCATENATE("R4C",'Mapa final'!#REF!),"")</f>
        <v>#REF!</v>
      </c>
      <c r="AK49" s="25" t="str">
        <f>IF(AND('Mapa final'!$Y$39="Muy Baja",'Mapa final'!$AA$39="Catastrófico"),CONCATENATE("R4C",'Mapa final'!$O$39),"")</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63"/>
      <c r="C50" s="218"/>
      <c r="D50" s="219"/>
      <c r="E50" s="230"/>
      <c r="F50" s="218"/>
      <c r="G50" s="218"/>
      <c r="H50" s="218"/>
      <c r="I50" s="219"/>
      <c r="J50" s="45" t="str">
        <f>IF(AND('Mapa final'!$Y$44="Muy Baja",'Mapa final'!$AA$44="Leve"),CONCATENATE("R5C",'Mapa final'!$O$44),"")</f>
        <v/>
      </c>
      <c r="K50" s="46" t="str">
        <f>IF(AND('Mapa final'!$Y$45="Muy Baja",'Mapa final'!$AA$45="Leve"),CONCATENATE("R5C",'Mapa final'!$O$45),"")</f>
        <v>R5C2</v>
      </c>
      <c r="L50" s="46" t="str">
        <f>IF(AND('Mapa final'!$Y$46="Muy Baja",'Mapa final'!$AA$46="Leve"),CONCATENATE("R5C",'Mapa final'!$O$46),"")</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final'!$Y$44="Muy Baja",'Mapa final'!$AA$44="Menor"),CONCATENATE("R5C",'Mapa final'!$O$44),"")</f>
        <v/>
      </c>
      <c r="Q50" s="46" t="str">
        <f>IF(AND('Mapa final'!$Y$45="Muy Baja",'Mapa final'!$AA$45="Menor"),CONCATENATE("R5C",'Mapa final'!$O$45),"")</f>
        <v/>
      </c>
      <c r="R50" s="46" t="str">
        <f>IF(AND('Mapa final'!$Y$46="Muy Baja",'Mapa final'!$AA$46="Menor"),CONCATENATE("R5C",'Mapa final'!$O$46),"")</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final'!$Y$44="Muy Baja",'Mapa final'!$AA$44="Moderado"),CONCATENATE("R5C",'Mapa final'!$O$44),"")</f>
        <v/>
      </c>
      <c r="W50" s="37" t="str">
        <f>IF(AND('Mapa final'!$Y$45="Muy Baja",'Mapa final'!$AA$45="Moderado"),CONCATENATE("R5C",'Mapa final'!$O$45),"")</f>
        <v/>
      </c>
      <c r="X50" s="37" t="str">
        <f>IF(AND('Mapa final'!$Y$46="Muy Baja",'Mapa final'!$AA$46="Moderado"),CONCATENATE("R5C",'Mapa final'!$O$46),"")</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final'!$Y$44="Muy Baja",'Mapa final'!$AA$44="Mayor"),CONCATENATE("R5C",'Mapa final'!$O$44),"")</f>
        <v/>
      </c>
      <c r="AC50" s="22" t="str">
        <f>IF(AND('Mapa final'!$Y$45="Muy Baja",'Mapa final'!$AA$45="Mayor"),CONCATENATE("R5C",'Mapa final'!$O$45),"")</f>
        <v/>
      </c>
      <c r="AD50" s="22" t="str">
        <f>IF(AND('Mapa final'!$Y$46="Muy Baja",'Mapa final'!$AA$46="Mayor"),CONCATENATE("R5C",'Mapa final'!$O$46),"")</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final'!$Y$44="Muy Baja",'Mapa final'!$AA$44="Catastrófico"),CONCATENATE("R5C",'Mapa final'!$O$44),"")</f>
        <v/>
      </c>
      <c r="AI50" s="25" t="str">
        <f>IF(AND('Mapa final'!$Y$45="Muy Baja",'Mapa final'!$AA$45="Catastrófico"),CONCATENATE("R5C",'Mapa final'!$O$45),"")</f>
        <v/>
      </c>
      <c r="AJ50" s="25" t="str">
        <f>IF(AND('Mapa final'!$Y$46="Muy Baja",'Mapa final'!$AA$46="Catastrófico"),CONCATENATE("R5C",'Mapa final'!$O$46),"")</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63"/>
      <c r="C51" s="218"/>
      <c r="D51" s="219"/>
      <c r="E51" s="230"/>
      <c r="F51" s="218"/>
      <c r="G51" s="218"/>
      <c r="H51" s="218"/>
      <c r="I51" s="219"/>
      <c r="J51" s="45" t="str">
        <f>IF(AND('Mapa final'!$Y$51="Muy Baja",'Mapa final'!$AA$51="Leve"),CONCATENATE("R6C",'Mapa final'!$O$51),"")</f>
        <v/>
      </c>
      <c r="K51" s="46" t="str">
        <f>IF(AND('Mapa final'!$Y$52="Muy Baja",'Mapa final'!$AA$52="Leve"),CONCATENATE("R6C",'Mapa final'!$O$52),"")</f>
        <v/>
      </c>
      <c r="L51" s="46" t="str">
        <f>IF(AND('Mapa final'!$Y$53="Muy Baja",'Mapa final'!$AA$53="Leve"),CONCATENATE("R6C",'Mapa final'!$O$53),"")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final'!$Y$51="Muy Baja",'Mapa final'!$AA$51="Menor"),CONCATENATE("R6C",'Mapa final'!$O$51),"")</f>
        <v/>
      </c>
      <c r="Q51" s="46" t="str">
        <f>IF(AND('Mapa final'!$Y$52="Muy Baja",'Mapa final'!$AA$52="Menor"),CONCATENATE("R6C",'Mapa final'!$O$52),"")</f>
        <v/>
      </c>
      <c r="R51" s="46" t="str">
        <f>IF(AND('Mapa final'!$Y$53="Muy Baja",'Mapa final'!$AA$53="Menor"),CONCATENATE("R6C",'Mapa final'!$O$53),"")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final'!$Y$51="Muy Baja",'Mapa final'!$AA$51="Moderado"),CONCATENATE("R6C",'Mapa final'!$O$51),"")</f>
        <v/>
      </c>
      <c r="W51" s="37" t="str">
        <f>IF(AND('Mapa final'!$Y$52="Muy Baja",'Mapa final'!$AA$52="Moderado"),CONCATENATE("R6C",'Mapa final'!$O$52),"")</f>
        <v/>
      </c>
      <c r="X51" s="37" t="str">
        <f>IF(AND('Mapa final'!$Y$53="Muy Baja",'Mapa final'!$AA$53="Moderado"),CONCATENATE("R6C",'Mapa final'!$O$53),"")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final'!$Y$51="Muy Baja",'Mapa final'!$AA$51="Mayor"),CONCATENATE("R6C",'Mapa final'!$O$51),"")</f>
        <v/>
      </c>
      <c r="AC51" s="22" t="str">
        <f>IF(AND('Mapa final'!$Y$52="Muy Baja",'Mapa final'!$AA$52="Mayor"),CONCATENATE("R6C",'Mapa final'!$O$52),"")</f>
        <v/>
      </c>
      <c r="AD51" s="22" t="str">
        <f>IF(AND('Mapa final'!$Y$53="Muy Baja",'Mapa final'!$AA$53="Mayor"),CONCATENATE("R6C",'Mapa final'!$O$53),"")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final'!$Y$51="Muy Baja",'Mapa final'!$AA$51="Catastrófico"),CONCATENATE("R6C",'Mapa final'!$O$51),"")</f>
        <v/>
      </c>
      <c r="AI51" s="25" t="str">
        <f>IF(AND('Mapa final'!$Y$52="Muy Baja",'Mapa final'!$AA$52="Catastrófico"),CONCATENATE("R6C",'Mapa final'!$O$52),"")</f>
        <v/>
      </c>
      <c r="AJ51" s="25" t="str">
        <f>IF(AND('Mapa final'!$Y$53="Muy Baja",'Mapa final'!$AA$53="Catastrófico"),CONCATENATE("R6C",'Mapa final'!$O$53),"")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63"/>
      <c r="C52" s="218"/>
      <c r="D52" s="219"/>
      <c r="E52" s="230"/>
      <c r="F52" s="218"/>
      <c r="G52" s="218"/>
      <c r="H52" s="218"/>
      <c r="I52" s="219"/>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63"/>
      <c r="C53" s="218"/>
      <c r="D53" s="219"/>
      <c r="E53" s="230"/>
      <c r="F53" s="218"/>
      <c r="G53" s="218"/>
      <c r="H53" s="218"/>
      <c r="I53" s="219"/>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63"/>
      <c r="C54" s="218"/>
      <c r="D54" s="219"/>
      <c r="E54" s="230"/>
      <c r="F54" s="218"/>
      <c r="G54" s="218"/>
      <c r="H54" s="218"/>
      <c r="I54" s="219"/>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3"/>
      <c r="C55" s="265"/>
      <c r="D55" s="234"/>
      <c r="E55" s="253"/>
      <c r="F55" s="254"/>
      <c r="G55" s="254"/>
      <c r="H55" s="254"/>
      <c r="I55" s="257"/>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1" t="s">
        <v>104</v>
      </c>
      <c r="K56" s="252"/>
      <c r="L56" s="252"/>
      <c r="M56" s="252"/>
      <c r="N56" s="252"/>
      <c r="O56" s="238"/>
      <c r="P56" s="281" t="s">
        <v>105</v>
      </c>
      <c r="Q56" s="252"/>
      <c r="R56" s="252"/>
      <c r="S56" s="252"/>
      <c r="T56" s="252"/>
      <c r="U56" s="238"/>
      <c r="V56" s="281" t="s">
        <v>106</v>
      </c>
      <c r="W56" s="252"/>
      <c r="X56" s="252"/>
      <c r="Y56" s="252"/>
      <c r="Z56" s="252"/>
      <c r="AA56" s="238"/>
      <c r="AB56" s="281" t="s">
        <v>107</v>
      </c>
      <c r="AC56" s="252"/>
      <c r="AD56" s="252"/>
      <c r="AE56" s="252"/>
      <c r="AF56" s="252"/>
      <c r="AG56" s="238"/>
      <c r="AH56" s="281" t="s">
        <v>108</v>
      </c>
      <c r="AI56" s="252"/>
      <c r="AJ56" s="252"/>
      <c r="AK56" s="252"/>
      <c r="AL56" s="252"/>
      <c r="AM56" s="238"/>
    </row>
    <row r="57" spans="2:39" ht="15.75" customHeight="1" x14ac:dyDescent="0.25">
      <c r="B57" s="1"/>
      <c r="C57" s="1"/>
      <c r="D57" s="1"/>
      <c r="E57" s="1"/>
      <c r="F57" s="1"/>
      <c r="G57" s="1"/>
      <c r="H57" s="1"/>
      <c r="I57" s="1"/>
      <c r="J57" s="230"/>
      <c r="K57" s="218"/>
      <c r="L57" s="218"/>
      <c r="M57" s="218"/>
      <c r="N57" s="218"/>
      <c r="O57" s="219"/>
      <c r="P57" s="230"/>
      <c r="Q57" s="218"/>
      <c r="R57" s="218"/>
      <c r="S57" s="218"/>
      <c r="T57" s="218"/>
      <c r="U57" s="219"/>
      <c r="V57" s="230"/>
      <c r="W57" s="218"/>
      <c r="X57" s="218"/>
      <c r="Y57" s="218"/>
      <c r="Z57" s="218"/>
      <c r="AA57" s="219"/>
      <c r="AB57" s="230"/>
      <c r="AC57" s="218"/>
      <c r="AD57" s="218"/>
      <c r="AE57" s="218"/>
      <c r="AF57" s="218"/>
      <c r="AG57" s="219"/>
      <c r="AH57" s="230"/>
      <c r="AI57" s="218"/>
      <c r="AJ57" s="218"/>
      <c r="AK57" s="218"/>
      <c r="AL57" s="218"/>
      <c r="AM57" s="219"/>
    </row>
    <row r="58" spans="2:39" ht="15.75" customHeight="1" x14ac:dyDescent="0.25">
      <c r="B58" s="1"/>
      <c r="C58" s="1"/>
      <c r="D58" s="1"/>
      <c r="E58" s="1"/>
      <c r="F58" s="1"/>
      <c r="G58" s="1"/>
      <c r="H58" s="1"/>
      <c r="I58" s="1"/>
      <c r="J58" s="230"/>
      <c r="K58" s="218"/>
      <c r="L58" s="218"/>
      <c r="M58" s="218"/>
      <c r="N58" s="218"/>
      <c r="O58" s="219"/>
      <c r="P58" s="230"/>
      <c r="Q58" s="218"/>
      <c r="R58" s="218"/>
      <c r="S58" s="218"/>
      <c r="T58" s="218"/>
      <c r="U58" s="219"/>
      <c r="V58" s="230"/>
      <c r="W58" s="218"/>
      <c r="X58" s="218"/>
      <c r="Y58" s="218"/>
      <c r="Z58" s="218"/>
      <c r="AA58" s="219"/>
      <c r="AB58" s="230"/>
      <c r="AC58" s="218"/>
      <c r="AD58" s="218"/>
      <c r="AE58" s="218"/>
      <c r="AF58" s="218"/>
      <c r="AG58" s="219"/>
      <c r="AH58" s="230"/>
      <c r="AI58" s="218"/>
      <c r="AJ58" s="218"/>
      <c r="AK58" s="218"/>
      <c r="AL58" s="218"/>
      <c r="AM58" s="219"/>
    </row>
    <row r="59" spans="2:39" ht="15.75" customHeight="1" x14ac:dyDescent="0.25">
      <c r="B59" s="1"/>
      <c r="C59" s="1"/>
      <c r="D59" s="1"/>
      <c r="E59" s="1"/>
      <c r="F59" s="1"/>
      <c r="G59" s="1"/>
      <c r="H59" s="1"/>
      <c r="I59" s="1"/>
      <c r="J59" s="230"/>
      <c r="K59" s="218"/>
      <c r="L59" s="218"/>
      <c r="M59" s="218"/>
      <c r="N59" s="218"/>
      <c r="O59" s="219"/>
      <c r="P59" s="230"/>
      <c r="Q59" s="218"/>
      <c r="R59" s="218"/>
      <c r="S59" s="218"/>
      <c r="T59" s="218"/>
      <c r="U59" s="219"/>
      <c r="V59" s="230"/>
      <c r="W59" s="218"/>
      <c r="X59" s="218"/>
      <c r="Y59" s="218"/>
      <c r="Z59" s="218"/>
      <c r="AA59" s="219"/>
      <c r="AB59" s="230"/>
      <c r="AC59" s="218"/>
      <c r="AD59" s="218"/>
      <c r="AE59" s="218"/>
      <c r="AF59" s="218"/>
      <c r="AG59" s="219"/>
      <c r="AH59" s="230"/>
      <c r="AI59" s="218"/>
      <c r="AJ59" s="218"/>
      <c r="AK59" s="218"/>
      <c r="AL59" s="218"/>
      <c r="AM59" s="219"/>
    </row>
    <row r="60" spans="2:39" ht="15.75" customHeight="1" x14ac:dyDescent="0.25">
      <c r="B60" s="1"/>
      <c r="C60" s="1"/>
      <c r="D60" s="1"/>
      <c r="E60" s="1"/>
      <c r="F60" s="1"/>
      <c r="G60" s="1"/>
      <c r="H60" s="1"/>
      <c r="I60" s="1"/>
      <c r="J60" s="230"/>
      <c r="K60" s="218"/>
      <c r="L60" s="218"/>
      <c r="M60" s="218"/>
      <c r="N60" s="218"/>
      <c r="O60" s="219"/>
      <c r="P60" s="230"/>
      <c r="Q60" s="218"/>
      <c r="R60" s="218"/>
      <c r="S60" s="218"/>
      <c r="T60" s="218"/>
      <c r="U60" s="219"/>
      <c r="V60" s="230"/>
      <c r="W60" s="218"/>
      <c r="X60" s="218"/>
      <c r="Y60" s="218"/>
      <c r="Z60" s="218"/>
      <c r="AA60" s="219"/>
      <c r="AB60" s="230"/>
      <c r="AC60" s="218"/>
      <c r="AD60" s="218"/>
      <c r="AE60" s="218"/>
      <c r="AF60" s="218"/>
      <c r="AG60" s="219"/>
      <c r="AH60" s="230"/>
      <c r="AI60" s="218"/>
      <c r="AJ60" s="218"/>
      <c r="AK60" s="218"/>
      <c r="AL60" s="218"/>
      <c r="AM60" s="219"/>
    </row>
    <row r="61" spans="2:39" ht="15.75" customHeight="1" x14ac:dyDescent="0.25">
      <c r="B61" s="1"/>
      <c r="C61" s="1"/>
      <c r="D61" s="1"/>
      <c r="E61" s="1"/>
      <c r="F61" s="1"/>
      <c r="G61" s="1"/>
      <c r="H61" s="1"/>
      <c r="I61" s="1"/>
      <c r="J61" s="253"/>
      <c r="K61" s="254"/>
      <c r="L61" s="254"/>
      <c r="M61" s="254"/>
      <c r="N61" s="254"/>
      <c r="O61" s="257"/>
      <c r="P61" s="253"/>
      <c r="Q61" s="254"/>
      <c r="R61" s="254"/>
      <c r="S61" s="254"/>
      <c r="T61" s="254"/>
      <c r="U61" s="257"/>
      <c r="V61" s="253"/>
      <c r="W61" s="254"/>
      <c r="X61" s="254"/>
      <c r="Y61" s="254"/>
      <c r="Z61" s="254"/>
      <c r="AA61" s="257"/>
      <c r="AB61" s="253"/>
      <c r="AC61" s="254"/>
      <c r="AD61" s="254"/>
      <c r="AE61" s="254"/>
      <c r="AF61" s="254"/>
      <c r="AG61" s="257"/>
      <c r="AH61" s="253"/>
      <c r="AI61" s="254"/>
      <c r="AJ61" s="254"/>
      <c r="AK61" s="254"/>
      <c r="AL61" s="254"/>
      <c r="AM61" s="257"/>
    </row>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86" t="s">
        <v>110</v>
      </c>
      <c r="C1" s="218"/>
      <c r="D1" s="218"/>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87" t="s">
        <v>122</v>
      </c>
      <c r="C1" s="218"/>
      <c r="D1" s="218"/>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3" t="s">
        <v>162</v>
      </c>
      <c r="C1" s="294"/>
      <c r="D1" s="294"/>
      <c r="E1" s="294"/>
      <c r="F1" s="295"/>
    </row>
    <row r="2" spans="2:6" ht="12.75" customHeight="1" x14ac:dyDescent="0.25">
      <c r="B2" s="83"/>
      <c r="C2" s="83"/>
      <c r="D2" s="83"/>
      <c r="E2" s="83"/>
      <c r="F2" s="83"/>
    </row>
    <row r="3" spans="2:6" ht="12.75" customHeight="1" x14ac:dyDescent="0.2">
      <c r="B3" s="296" t="s">
        <v>163</v>
      </c>
      <c r="C3" s="294"/>
      <c r="D3" s="297"/>
      <c r="E3" s="84" t="s">
        <v>164</v>
      </c>
      <c r="F3" s="85" t="s">
        <v>165</v>
      </c>
    </row>
    <row r="4" spans="2:6" ht="12.75" customHeight="1" x14ac:dyDescent="0.2">
      <c r="B4" s="298" t="s">
        <v>166</v>
      </c>
      <c r="C4" s="301" t="s">
        <v>86</v>
      </c>
      <c r="D4" s="86" t="s">
        <v>167</v>
      </c>
      <c r="E4" s="87" t="s">
        <v>168</v>
      </c>
      <c r="F4" s="88">
        <v>0.25</v>
      </c>
    </row>
    <row r="5" spans="2:6" ht="12.75" customHeight="1" x14ac:dyDescent="0.2">
      <c r="B5" s="299"/>
      <c r="C5" s="302"/>
      <c r="D5" s="89" t="s">
        <v>169</v>
      </c>
      <c r="E5" s="90" t="s">
        <v>170</v>
      </c>
      <c r="F5" s="91">
        <v>0.15</v>
      </c>
    </row>
    <row r="6" spans="2:6" ht="12.75" customHeight="1" x14ac:dyDescent="0.2">
      <c r="B6" s="299"/>
      <c r="C6" s="291"/>
      <c r="D6" s="89" t="s">
        <v>171</v>
      </c>
      <c r="E6" s="90" t="s">
        <v>172</v>
      </c>
      <c r="F6" s="91">
        <v>0.1</v>
      </c>
    </row>
    <row r="7" spans="2:6" ht="12.75" customHeight="1" x14ac:dyDescent="0.2">
      <c r="B7" s="299"/>
      <c r="C7" s="290" t="s">
        <v>87</v>
      </c>
      <c r="D7" s="89" t="s">
        <v>173</v>
      </c>
      <c r="E7" s="90" t="s">
        <v>174</v>
      </c>
      <c r="F7" s="91">
        <v>0.25</v>
      </c>
    </row>
    <row r="8" spans="2:6" ht="12.75" customHeight="1" x14ac:dyDescent="0.2">
      <c r="B8" s="300"/>
      <c r="C8" s="291"/>
      <c r="D8" s="89" t="s">
        <v>175</v>
      </c>
      <c r="E8" s="90" t="s">
        <v>176</v>
      </c>
      <c r="F8" s="91">
        <v>0.15</v>
      </c>
    </row>
    <row r="9" spans="2:6" ht="12.75" customHeight="1" x14ac:dyDescent="0.2">
      <c r="B9" s="303" t="s">
        <v>177</v>
      </c>
      <c r="C9" s="290" t="s">
        <v>89</v>
      </c>
      <c r="D9" s="89" t="s">
        <v>178</v>
      </c>
      <c r="E9" s="90" t="s">
        <v>179</v>
      </c>
      <c r="F9" s="92" t="s">
        <v>180</v>
      </c>
    </row>
    <row r="10" spans="2:6" ht="12.75" customHeight="1" x14ac:dyDescent="0.2">
      <c r="B10" s="299"/>
      <c r="C10" s="291"/>
      <c r="D10" s="89" t="s">
        <v>181</v>
      </c>
      <c r="E10" s="90" t="s">
        <v>182</v>
      </c>
      <c r="F10" s="92" t="s">
        <v>180</v>
      </c>
    </row>
    <row r="11" spans="2:6" ht="12.75" customHeight="1" x14ac:dyDescent="0.2">
      <c r="B11" s="299"/>
      <c r="C11" s="290" t="s">
        <v>90</v>
      </c>
      <c r="D11" s="89" t="s">
        <v>183</v>
      </c>
      <c r="E11" s="90" t="s">
        <v>184</v>
      </c>
      <c r="F11" s="92" t="s">
        <v>180</v>
      </c>
    </row>
    <row r="12" spans="2:6" ht="12.75" customHeight="1" x14ac:dyDescent="0.2">
      <c r="B12" s="299"/>
      <c r="C12" s="291"/>
      <c r="D12" s="89" t="s">
        <v>185</v>
      </c>
      <c r="E12" s="90" t="s">
        <v>186</v>
      </c>
      <c r="F12" s="92" t="s">
        <v>180</v>
      </c>
    </row>
    <row r="13" spans="2:6" ht="12.75" customHeight="1" x14ac:dyDescent="0.2">
      <c r="B13" s="299"/>
      <c r="C13" s="290" t="s">
        <v>91</v>
      </c>
      <c r="D13" s="89" t="s">
        <v>187</v>
      </c>
      <c r="E13" s="90" t="s">
        <v>188</v>
      </c>
      <c r="F13" s="92" t="s">
        <v>180</v>
      </c>
    </row>
    <row r="14" spans="2:6" ht="12.75" customHeight="1" x14ac:dyDescent="0.2">
      <c r="B14" s="304"/>
      <c r="C14" s="292"/>
      <c r="D14" s="93" t="s">
        <v>189</v>
      </c>
      <c r="E14" s="94" t="s">
        <v>190</v>
      </c>
      <c r="F14" s="95" t="s">
        <v>180</v>
      </c>
    </row>
    <row r="15" spans="2:6" ht="49.5" customHeight="1" x14ac:dyDescent="0.2">
      <c r="B15" s="288" t="s">
        <v>191</v>
      </c>
      <c r="C15" s="196"/>
      <c r="D15" s="196"/>
      <c r="E15" s="196"/>
      <c r="F15" s="28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10" t="s">
        <v>226</v>
      </c>
      <c r="D2" s="310"/>
      <c r="E2" s="310"/>
      <c r="F2" s="310"/>
      <c r="G2" s="310"/>
      <c r="H2" s="310"/>
      <c r="I2" s="310"/>
      <c r="J2" s="310"/>
      <c r="K2" s="310"/>
      <c r="L2" s="310"/>
    </row>
    <row r="3" spans="2:12" ht="16.5" thickBot="1" x14ac:dyDescent="0.35">
      <c r="B3" s="100"/>
      <c r="C3" s="101"/>
      <c r="G3" s="100"/>
      <c r="H3" s="100"/>
      <c r="I3" s="100"/>
      <c r="J3" s="100"/>
      <c r="K3" s="100"/>
      <c r="L3" s="100"/>
    </row>
    <row r="4" spans="2:12" x14ac:dyDescent="0.2">
      <c r="B4" s="311" t="s">
        <v>227</v>
      </c>
      <c r="C4" s="312"/>
      <c r="D4" s="312" t="s">
        <v>228</v>
      </c>
      <c r="E4" s="312"/>
      <c r="F4" s="312"/>
      <c r="G4" s="312"/>
      <c r="H4" s="312" t="s">
        <v>229</v>
      </c>
      <c r="I4" s="312"/>
      <c r="J4" s="312"/>
      <c r="K4" s="312" t="s">
        <v>230</v>
      </c>
      <c r="L4" s="313"/>
    </row>
    <row r="5" spans="2:12" ht="17.25" thickBot="1" x14ac:dyDescent="0.35">
      <c r="B5" s="305"/>
      <c r="C5" s="306"/>
      <c r="D5" s="307"/>
      <c r="E5" s="307"/>
      <c r="F5" s="307"/>
      <c r="G5" s="307"/>
      <c r="H5" s="308"/>
      <c r="I5" s="308"/>
      <c r="J5" s="308"/>
      <c r="K5" s="308"/>
      <c r="L5" s="309"/>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14" t="s">
        <v>231</v>
      </c>
      <c r="C8" s="315"/>
      <c r="D8" s="315"/>
      <c r="E8" s="316"/>
      <c r="F8" s="314" t="s">
        <v>232</v>
      </c>
      <c r="G8" s="315"/>
      <c r="H8" s="315"/>
      <c r="I8" s="316"/>
      <c r="J8" s="314" t="s">
        <v>233</v>
      </c>
      <c r="K8" s="315"/>
      <c r="L8" s="316"/>
    </row>
    <row r="9" spans="2:12" ht="15.75" x14ac:dyDescent="0.3">
      <c r="B9" s="317"/>
      <c r="C9" s="318"/>
      <c r="D9" s="318"/>
      <c r="E9" s="319"/>
      <c r="F9" s="320"/>
      <c r="G9" s="321"/>
      <c r="H9" s="321"/>
      <c r="I9" s="322"/>
      <c r="J9" s="320"/>
      <c r="K9" s="321"/>
      <c r="L9" s="322"/>
    </row>
    <row r="10" spans="2:12" ht="15.75" x14ac:dyDescent="0.3">
      <c r="B10" s="317"/>
      <c r="C10" s="318"/>
      <c r="D10" s="318"/>
      <c r="E10" s="319"/>
      <c r="F10" s="320"/>
      <c r="G10" s="321"/>
      <c r="H10" s="321"/>
      <c r="I10" s="322"/>
      <c r="J10" s="320"/>
      <c r="K10" s="321"/>
      <c r="L10" s="322"/>
    </row>
    <row r="11" spans="2:12" ht="15.75" x14ac:dyDescent="0.3">
      <c r="B11" s="317"/>
      <c r="C11" s="318"/>
      <c r="D11" s="318"/>
      <c r="E11" s="319"/>
      <c r="F11" s="320"/>
      <c r="G11" s="321"/>
      <c r="H11" s="321"/>
      <c r="I11" s="322"/>
      <c r="J11" s="320"/>
      <c r="K11" s="321"/>
      <c r="L11" s="322"/>
    </row>
    <row r="12" spans="2:12" ht="15.75" x14ac:dyDescent="0.3">
      <c r="B12" s="317"/>
      <c r="C12" s="318"/>
      <c r="D12" s="318"/>
      <c r="E12" s="319"/>
      <c r="F12" s="320"/>
      <c r="G12" s="321"/>
      <c r="H12" s="321"/>
      <c r="I12" s="322"/>
      <c r="J12" s="320"/>
      <c r="K12" s="321"/>
      <c r="L12" s="322"/>
    </row>
    <row r="13" spans="2:12" x14ac:dyDescent="0.2">
      <c r="B13" s="323" t="s">
        <v>234</v>
      </c>
      <c r="C13" s="324"/>
      <c r="D13" s="324"/>
      <c r="E13" s="325"/>
      <c r="F13" s="323" t="s">
        <v>235</v>
      </c>
      <c r="G13" s="324"/>
      <c r="H13" s="324"/>
      <c r="I13" s="325"/>
      <c r="J13" s="323" t="s">
        <v>236</v>
      </c>
      <c r="K13" s="324"/>
      <c r="L13" s="325"/>
    </row>
    <row r="14" spans="2:12" x14ac:dyDescent="0.2">
      <c r="B14" s="323" t="s">
        <v>237</v>
      </c>
      <c r="C14" s="324"/>
      <c r="D14" s="324"/>
      <c r="E14" s="325"/>
      <c r="F14" s="323" t="s">
        <v>238</v>
      </c>
      <c r="G14" s="324"/>
      <c r="H14" s="324"/>
      <c r="I14" s="325"/>
      <c r="J14" s="323" t="s">
        <v>239</v>
      </c>
      <c r="K14" s="324"/>
      <c r="L14" s="325"/>
    </row>
    <row r="15" spans="2:12" ht="16.5" thickBot="1" x14ac:dyDescent="0.35">
      <c r="B15" s="326"/>
      <c r="C15" s="327"/>
      <c r="D15" s="327"/>
      <c r="E15" s="328"/>
      <c r="F15" s="329"/>
      <c r="G15" s="330"/>
      <c r="H15" s="330"/>
      <c r="I15" s="331"/>
      <c r="J15" s="326"/>
      <c r="K15" s="327"/>
      <c r="L15" s="328"/>
    </row>
  </sheetData>
  <mergeCells count="33">
    <mergeCell ref="B14:E14"/>
    <mergeCell ref="F14:I14"/>
    <mergeCell ref="J14:L14"/>
    <mergeCell ref="B15:E15"/>
    <mergeCell ref="F15:I15"/>
    <mergeCell ref="J15:L15"/>
    <mergeCell ref="B12:E12"/>
    <mergeCell ref="F12:I12"/>
    <mergeCell ref="J12:L12"/>
    <mergeCell ref="B13:E13"/>
    <mergeCell ref="F13:I13"/>
    <mergeCell ref="J13:L13"/>
    <mergeCell ref="B10:E10"/>
    <mergeCell ref="F10:I10"/>
    <mergeCell ref="J10:L10"/>
    <mergeCell ref="B11:E11"/>
    <mergeCell ref="F11:I11"/>
    <mergeCell ref="J11:L11"/>
    <mergeCell ref="B8:E8"/>
    <mergeCell ref="F8:I8"/>
    <mergeCell ref="J8:L8"/>
    <mergeCell ref="B9:E9"/>
    <mergeCell ref="F9:I9"/>
    <mergeCell ref="J9:L9"/>
    <mergeCell ref="B5:C5"/>
    <mergeCell ref="D5:G5"/>
    <mergeCell ref="H5:J5"/>
    <mergeCell ref="K5:L5"/>
    <mergeCell ref="C2:L2"/>
    <mergeCell ref="B4:C4"/>
    <mergeCell ref="D4:G4"/>
    <mergeCell ref="H4:J4"/>
    <mergeCell ref="K4:L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x14ac:dyDescent="0.25">
      <c r="B2" s="80" t="s">
        <v>192</v>
      </c>
      <c r="E2" s="80" t="s">
        <v>193</v>
      </c>
    </row>
    <row r="3" spans="2:5" x14ac:dyDescent="0.25">
      <c r="B3" s="80" t="s">
        <v>194</v>
      </c>
      <c r="E3" s="80" t="s">
        <v>195</v>
      </c>
    </row>
    <row r="4" spans="2:5" x14ac:dyDescent="0.25">
      <c r="B4" s="80" t="s">
        <v>196</v>
      </c>
      <c r="E4" s="80" t="s">
        <v>197</v>
      </c>
    </row>
    <row r="5" spans="2:5" x14ac:dyDescent="0.25">
      <c r="B5" s="80" t="s">
        <v>198</v>
      </c>
    </row>
    <row r="8" spans="2:5" x14ac:dyDescent="0.25">
      <c r="B8" s="80" t="s">
        <v>199</v>
      </c>
    </row>
    <row r="9" spans="2:5" x14ac:dyDescent="0.25">
      <c r="B9" s="80" t="s">
        <v>200</v>
      </c>
    </row>
    <row r="10" spans="2:5" x14ac:dyDescent="0.25">
      <c r="B10" s="80" t="s">
        <v>201</v>
      </c>
    </row>
    <row r="13" spans="2:5" x14ac:dyDescent="0.25">
      <c r="B13" s="80" t="s">
        <v>202</v>
      </c>
    </row>
    <row r="14" spans="2:5" x14ac:dyDescent="0.25">
      <c r="B14" s="80" t="s">
        <v>203</v>
      </c>
    </row>
    <row r="15" spans="2:5" x14ac:dyDescent="0.25">
      <c r="B15" s="80" t="s">
        <v>204</v>
      </c>
    </row>
    <row r="16" spans="2:5" x14ac:dyDescent="0.25">
      <c r="B16" s="80" t="s">
        <v>205</v>
      </c>
    </row>
    <row r="17" spans="2:2" x14ac:dyDescent="0.25">
      <c r="B17" s="80" t="s">
        <v>206</v>
      </c>
    </row>
    <row r="18" spans="2:2" x14ac:dyDescent="0.25">
      <c r="B18" s="80" t="s">
        <v>207</v>
      </c>
    </row>
    <row r="19" spans="2:2"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william ceron</cp:lastModifiedBy>
  <cp:lastPrinted>2023-11-30T22:01:40Z</cp:lastPrinted>
  <dcterms:created xsi:type="dcterms:W3CDTF">2020-03-24T23:12:47Z</dcterms:created>
  <dcterms:modified xsi:type="dcterms:W3CDTF">2025-06-21T01:38:23Z</dcterms:modified>
</cp:coreProperties>
</file>