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escritorio\Alcaldia de Pasto\2025\MAPAS DE RIESGO\2025\mapas de riesgos\"/>
    </mc:Choice>
  </mc:AlternateContent>
  <xr:revisionPtr revIDLastSave="0" documentId="13_ncr:1_{CB6BA082-F746-4A41-9349-09A67AA55A58}" xr6:coauthVersionLast="47" xr6:coauthVersionMax="47" xr10:uidLastSave="{00000000-0000-0000-0000-000000000000}"/>
  <bookViews>
    <workbookView xWindow="-120" yWindow="-120" windowWidth="20730" windowHeight="11310" xr2:uid="{00000000-000D-0000-FFFF-FFFF0000000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2" l="1"/>
  <c r="I23" i="2" s="1"/>
  <c r="H30" i="2"/>
  <c r="I30" i="2" s="1"/>
  <c r="H37" i="2"/>
  <c r="I37" i="2" s="1"/>
  <c r="H44" i="2"/>
  <c r="I44" i="2" s="1"/>
  <c r="H51" i="2"/>
  <c r="I51" i="2" s="1"/>
  <c r="H58" i="2"/>
  <c r="H65" i="2"/>
  <c r="I65" i="2" s="1"/>
  <c r="H72" i="2"/>
  <c r="I72" i="2"/>
  <c r="H79" i="2"/>
  <c r="I79" i="2" s="1"/>
  <c r="H86" i="2"/>
  <c r="I86" i="2" s="1"/>
  <c r="H93" i="2"/>
  <c r="I93" i="2" s="1"/>
  <c r="H100" i="2"/>
  <c r="I100" i="2"/>
  <c r="H107" i="2"/>
  <c r="I107" i="2" s="1"/>
  <c r="H114" i="2"/>
  <c r="I114" i="2" s="1"/>
  <c r="H121" i="2"/>
  <c r="I121" i="2" s="1"/>
  <c r="K23" i="2"/>
  <c r="L23" i="2" s="1"/>
  <c r="K30" i="2"/>
  <c r="L30" i="2" s="1"/>
  <c r="K37" i="2"/>
  <c r="L37" i="2" s="1"/>
  <c r="K44" i="2"/>
  <c r="L44" i="2" s="1"/>
  <c r="K51" i="2"/>
  <c r="L51" i="2" s="1"/>
  <c r="K58" i="2"/>
  <c r="L58" i="2" s="1"/>
  <c r="M58" i="2" s="1"/>
  <c r="K65" i="2"/>
  <c r="L65" i="2" s="1"/>
  <c r="K72" i="2"/>
  <c r="L72" i="2" s="1"/>
  <c r="K79" i="2"/>
  <c r="L79" i="2" s="1"/>
  <c r="K86" i="2"/>
  <c r="L86" i="2"/>
  <c r="M86" i="2" s="1"/>
  <c r="K93" i="2"/>
  <c r="L93" i="2" s="1"/>
  <c r="K100" i="2"/>
  <c r="L100" i="2" s="1"/>
  <c r="K107" i="2"/>
  <c r="L107" i="2" s="1"/>
  <c r="K114" i="2"/>
  <c r="L114" i="2"/>
  <c r="M114" i="2" s="1"/>
  <c r="K121" i="2"/>
  <c r="L121" i="2" s="1"/>
  <c r="K16" i="2"/>
  <c r="L16" i="2" s="1"/>
  <c r="M16" i="2" s="1"/>
  <c r="N100" i="2" l="1"/>
  <c r="M100" i="2"/>
  <c r="M44" i="2"/>
  <c r="N44" i="2"/>
  <c r="M72" i="2"/>
  <c r="N72" i="2"/>
  <c r="N58" i="2"/>
  <c r="N114" i="2"/>
  <c r="N86" i="2"/>
  <c r="I58" i="2"/>
  <c r="M93" i="2"/>
  <c r="N93" i="2"/>
  <c r="M65" i="2"/>
  <c r="N65" i="2"/>
  <c r="M51" i="2"/>
  <c r="N51" i="2"/>
  <c r="M107" i="2"/>
  <c r="N107" i="2"/>
  <c r="N121" i="2"/>
  <c r="M121" i="2"/>
  <c r="M37" i="2"/>
  <c r="N37" i="2"/>
  <c r="M79" i="2"/>
  <c r="N79" i="2"/>
  <c r="N30" i="2"/>
  <c r="M30" i="2"/>
  <c r="M23" i="2"/>
  <c r="N23" i="2"/>
  <c r="T17" i="2"/>
  <c r="T18" i="2"/>
  <c r="T19" i="2"/>
  <c r="T20" i="2"/>
  <c r="T21" i="2"/>
  <c r="T22" i="2"/>
  <c r="T23" i="2"/>
  <c r="T24" i="2"/>
  <c r="T25" i="2"/>
  <c r="T26" i="2"/>
  <c r="T27" i="2"/>
  <c r="X27" i="2"/>
  <c r="T28" i="2"/>
  <c r="T29" i="2"/>
  <c r="T30" i="2"/>
  <c r="T31" i="2"/>
  <c r="T32" i="2"/>
  <c r="T33" i="2"/>
  <c r="T34" i="2"/>
  <c r="T35" i="2"/>
  <c r="T36" i="2"/>
  <c r="T37" i="2"/>
  <c r="T38" i="2"/>
  <c r="T39" i="2"/>
  <c r="T40" i="2"/>
  <c r="T41" i="2"/>
  <c r="T42" i="2"/>
  <c r="T43" i="2"/>
  <c r="X43" i="2"/>
  <c r="T44" i="2"/>
  <c r="T45" i="2"/>
  <c r="T46" i="2"/>
  <c r="T47" i="2"/>
  <c r="AB47" i="2"/>
  <c r="AA47" i="2" s="1"/>
  <c r="T48" i="2"/>
  <c r="T49" i="2"/>
  <c r="T50" i="2"/>
  <c r="T51" i="2"/>
  <c r="X51" i="2"/>
  <c r="T52" i="2"/>
  <c r="T53" i="2"/>
  <c r="T54" i="2"/>
  <c r="T55" i="2"/>
  <c r="T56" i="2"/>
  <c r="T57" i="2"/>
  <c r="T58" i="2"/>
  <c r="T59" i="2"/>
  <c r="X59" i="2"/>
  <c r="T60" i="2"/>
  <c r="T61" i="2"/>
  <c r="T62" i="2"/>
  <c r="T63" i="2"/>
  <c r="T64" i="2"/>
  <c r="T65" i="2"/>
  <c r="T66" i="2"/>
  <c r="T67" i="2"/>
  <c r="X67" i="2"/>
  <c r="T68" i="2"/>
  <c r="T69" i="2"/>
  <c r="T70" i="2"/>
  <c r="T71" i="2"/>
  <c r="AB71" i="2"/>
  <c r="AA71" i="2" s="1"/>
  <c r="T72" i="2"/>
  <c r="T73" i="2"/>
  <c r="T74" i="2"/>
  <c r="T75" i="2"/>
  <c r="X75" i="2"/>
  <c r="T76" i="2"/>
  <c r="T77" i="2"/>
  <c r="T78" i="2"/>
  <c r="T79" i="2"/>
  <c r="AB79" i="2"/>
  <c r="AA79" i="2" s="1"/>
  <c r="T80" i="2"/>
  <c r="T81" i="2"/>
  <c r="T82" i="2"/>
  <c r="T83" i="2"/>
  <c r="X83" i="2"/>
  <c r="T84" i="2"/>
  <c r="T85" i="2"/>
  <c r="T86" i="2"/>
  <c r="T87" i="2"/>
  <c r="T88" i="2"/>
  <c r="T89" i="2"/>
  <c r="T90" i="2"/>
  <c r="T91" i="2"/>
  <c r="X91" i="2"/>
  <c r="T92" i="2"/>
  <c r="T93" i="2"/>
  <c r="T94" i="2"/>
  <c r="T95" i="2"/>
  <c r="T96" i="2"/>
  <c r="T97" i="2"/>
  <c r="T98" i="2"/>
  <c r="X98" i="2"/>
  <c r="T99" i="2"/>
  <c r="X99" i="2"/>
  <c r="Z99" i="2" s="1"/>
  <c r="T100" i="2"/>
  <c r="T101" i="2"/>
  <c r="T102" i="2"/>
  <c r="AB102" i="2"/>
  <c r="AA102" i="2" s="1"/>
  <c r="T103" i="2"/>
  <c r="T104" i="2"/>
  <c r="T105" i="2"/>
  <c r="T106" i="2"/>
  <c r="X106" i="2"/>
  <c r="T107" i="2"/>
  <c r="X107" i="2"/>
  <c r="Z107" i="2" s="1"/>
  <c r="Y107" i="2"/>
  <c r="T108" i="2"/>
  <c r="T109" i="2"/>
  <c r="T110" i="2"/>
  <c r="AA110" i="2"/>
  <c r="AB110" i="2"/>
  <c r="T111" i="2"/>
  <c r="T112" i="2"/>
  <c r="T113" i="2"/>
  <c r="T114" i="2"/>
  <c r="X114" i="2"/>
  <c r="T115" i="2"/>
  <c r="X115" i="2"/>
  <c r="Z115" i="2" s="1"/>
  <c r="T116" i="2"/>
  <c r="T117" i="2"/>
  <c r="AA117" i="2"/>
  <c r="T118" i="2"/>
  <c r="X118" i="2"/>
  <c r="Y118" i="2" s="1"/>
  <c r="AB118" i="2"/>
  <c r="AA118" i="2" s="1"/>
  <c r="T119" i="2"/>
  <c r="AB119" i="2"/>
  <c r="AA119" i="2" s="1"/>
  <c r="T120" i="2"/>
  <c r="T121" i="2"/>
  <c r="T122" i="2"/>
  <c r="X122" i="2"/>
  <c r="AB122" i="2"/>
  <c r="AA122" i="2" s="1"/>
  <c r="T123" i="2"/>
  <c r="X123" i="2"/>
  <c r="Z123" i="2" s="1"/>
  <c r="T124" i="2"/>
  <c r="T125" i="2"/>
  <c r="AA125" i="2"/>
  <c r="T126" i="2"/>
  <c r="X126" i="2"/>
  <c r="AB126" i="2"/>
  <c r="AA126" i="2" s="1"/>
  <c r="T127" i="2"/>
  <c r="Q17" i="2"/>
  <c r="Q18" i="2"/>
  <c r="X18" i="2" s="1"/>
  <c r="Q19" i="2"/>
  <c r="AB19" i="2" s="1"/>
  <c r="AA19" i="2" s="1"/>
  <c r="Q20" i="2"/>
  <c r="Q21" i="2"/>
  <c r="AB21" i="2" s="1"/>
  <c r="AA21" i="2" s="1"/>
  <c r="Q22" i="2"/>
  <c r="AB22" i="2" s="1"/>
  <c r="AA22" i="2" s="1"/>
  <c r="Q23" i="2"/>
  <c r="X23" i="2" s="1"/>
  <c r="Q24" i="2"/>
  <c r="Q25" i="2"/>
  <c r="X25" i="2" s="1"/>
  <c r="Q26" i="2"/>
  <c r="X26" i="2" s="1"/>
  <c r="Q27" i="2"/>
  <c r="AB27" i="2" s="1"/>
  <c r="AA27" i="2" s="1"/>
  <c r="Q28" i="2"/>
  <c r="Q29" i="2"/>
  <c r="AB29" i="2" s="1"/>
  <c r="AA29" i="2" s="1"/>
  <c r="Q30" i="2"/>
  <c r="AB30" i="2" s="1"/>
  <c r="AA30" i="2" s="1"/>
  <c r="Q31" i="2"/>
  <c r="Q32" i="2"/>
  <c r="Q33" i="2"/>
  <c r="Q34" i="2"/>
  <c r="X34" i="2" s="1"/>
  <c r="Q35" i="2"/>
  <c r="AB35" i="2" s="1"/>
  <c r="AA35" i="2" s="1"/>
  <c r="Q36" i="2"/>
  <c r="Q37" i="2"/>
  <c r="AB37" i="2" s="1"/>
  <c r="AA37" i="2" s="1"/>
  <c r="Q38" i="2"/>
  <c r="AB38" i="2" s="1"/>
  <c r="AA38" i="2" s="1"/>
  <c r="Q39" i="2"/>
  <c r="Q40" i="2"/>
  <c r="Q41" i="2"/>
  <c r="X41" i="2" s="1"/>
  <c r="Q42" i="2"/>
  <c r="X42" i="2" s="1"/>
  <c r="Q43" i="2"/>
  <c r="AB43" i="2" s="1"/>
  <c r="AA43" i="2" s="1"/>
  <c r="Q44" i="2"/>
  <c r="Q45" i="2"/>
  <c r="AB45" i="2" s="1"/>
  <c r="AA45" i="2" s="1"/>
  <c r="Q46" i="2"/>
  <c r="AB46" i="2" s="1"/>
  <c r="AA46" i="2" s="1"/>
  <c r="Q47" i="2"/>
  <c r="X47" i="2" s="1"/>
  <c r="Q48" i="2"/>
  <c r="Q49" i="2"/>
  <c r="X49" i="2" s="1"/>
  <c r="Q50" i="2"/>
  <c r="X50" i="2" s="1"/>
  <c r="Q51" i="2"/>
  <c r="AB51" i="2" s="1"/>
  <c r="AA51" i="2" s="1"/>
  <c r="Q52" i="2"/>
  <c r="Q53" i="2"/>
  <c r="AB53" i="2" s="1"/>
  <c r="AA53" i="2" s="1"/>
  <c r="Q54" i="2"/>
  <c r="AB54" i="2" s="1"/>
  <c r="AA54" i="2" s="1"/>
  <c r="Q55" i="2"/>
  <c r="X55" i="2" s="1"/>
  <c r="Q56" i="2"/>
  <c r="Q57" i="2"/>
  <c r="X57" i="2" s="1"/>
  <c r="Q58" i="2"/>
  <c r="X58" i="2" s="1"/>
  <c r="Q59" i="2"/>
  <c r="AB59" i="2" s="1"/>
  <c r="AA59" i="2" s="1"/>
  <c r="Q60" i="2"/>
  <c r="Q61" i="2"/>
  <c r="AB61" i="2" s="1"/>
  <c r="AA61" i="2" s="1"/>
  <c r="Q62" i="2"/>
  <c r="AB62" i="2" s="1"/>
  <c r="AA62" i="2" s="1"/>
  <c r="Q63" i="2"/>
  <c r="X63" i="2" s="1"/>
  <c r="Q64" i="2"/>
  <c r="Q65" i="2"/>
  <c r="X65" i="2" s="1"/>
  <c r="Q66" i="2"/>
  <c r="X66" i="2" s="1"/>
  <c r="Q67" i="2"/>
  <c r="AB67" i="2" s="1"/>
  <c r="AA67" i="2" s="1"/>
  <c r="Q68" i="2"/>
  <c r="Q69" i="2"/>
  <c r="AB69" i="2" s="1"/>
  <c r="AA69" i="2" s="1"/>
  <c r="Q70" i="2"/>
  <c r="AB70" i="2" s="1"/>
  <c r="AA70" i="2" s="1"/>
  <c r="Q71" i="2"/>
  <c r="X71" i="2" s="1"/>
  <c r="Q72" i="2"/>
  <c r="Q73" i="2"/>
  <c r="X73" i="2" s="1"/>
  <c r="Q74" i="2"/>
  <c r="X74" i="2" s="1"/>
  <c r="Q75" i="2"/>
  <c r="AB75" i="2" s="1"/>
  <c r="AA75" i="2" s="1"/>
  <c r="Q76" i="2"/>
  <c r="Q77" i="2"/>
  <c r="AB77" i="2" s="1"/>
  <c r="AA77" i="2" s="1"/>
  <c r="Q78" i="2"/>
  <c r="AB78" i="2" s="1"/>
  <c r="AA78" i="2" s="1"/>
  <c r="Q79" i="2"/>
  <c r="X79" i="2" s="1"/>
  <c r="Q80" i="2"/>
  <c r="Q81" i="2"/>
  <c r="X81" i="2" s="1"/>
  <c r="Q82" i="2"/>
  <c r="X82" i="2" s="1"/>
  <c r="Q83" i="2"/>
  <c r="AB83" i="2" s="1"/>
  <c r="AA83" i="2" s="1"/>
  <c r="Q84" i="2"/>
  <c r="Q85" i="2"/>
  <c r="AB85" i="2" s="1"/>
  <c r="AA85" i="2" s="1"/>
  <c r="Q86" i="2"/>
  <c r="AB86" i="2" s="1"/>
  <c r="AA86" i="2" s="1"/>
  <c r="Q87" i="2"/>
  <c r="X87" i="2" s="1"/>
  <c r="Q88" i="2"/>
  <c r="Q89" i="2"/>
  <c r="X89" i="2" s="1"/>
  <c r="Q90" i="2"/>
  <c r="X90" i="2" s="1"/>
  <c r="Q91" i="2"/>
  <c r="AB91" i="2" s="1"/>
  <c r="AA91" i="2" s="1"/>
  <c r="Q92" i="2"/>
  <c r="Q93" i="2"/>
  <c r="AB93" i="2" s="1"/>
  <c r="AA93" i="2" s="1"/>
  <c r="Q94" i="2"/>
  <c r="AB94" i="2" s="1"/>
  <c r="AA94" i="2" s="1"/>
  <c r="Q95" i="2"/>
  <c r="X95" i="2" s="1"/>
  <c r="Q96" i="2"/>
  <c r="Q97" i="2"/>
  <c r="X97" i="2" s="1"/>
  <c r="Q98" i="2"/>
  <c r="AB98" i="2" s="1"/>
  <c r="AA98" i="2" s="1"/>
  <c r="Q99" i="2"/>
  <c r="AB99" i="2" s="1"/>
  <c r="AA99" i="2" s="1"/>
  <c r="Q100" i="2"/>
  <c r="Q101" i="2"/>
  <c r="AB101" i="2" s="1"/>
  <c r="AA101" i="2" s="1"/>
  <c r="Q102" i="2"/>
  <c r="X102" i="2" s="1"/>
  <c r="Q103" i="2"/>
  <c r="X103" i="2" s="1"/>
  <c r="Q104" i="2"/>
  <c r="Q105" i="2"/>
  <c r="X105" i="2" s="1"/>
  <c r="Q106" i="2"/>
  <c r="AB106" i="2" s="1"/>
  <c r="AA106" i="2" s="1"/>
  <c r="Q107" i="2"/>
  <c r="AB107" i="2" s="1"/>
  <c r="AA107" i="2" s="1"/>
  <c r="Q108" i="2"/>
  <c r="Q109" i="2"/>
  <c r="AB109" i="2" s="1"/>
  <c r="AA109" i="2" s="1"/>
  <c r="Q110" i="2"/>
  <c r="X110" i="2" s="1"/>
  <c r="Q111" i="2"/>
  <c r="X111" i="2" s="1"/>
  <c r="Q112" i="2"/>
  <c r="Q113" i="2"/>
  <c r="X113" i="2" s="1"/>
  <c r="Q114" i="2"/>
  <c r="AB114" i="2" s="1"/>
  <c r="AA114" i="2" s="1"/>
  <c r="Q115" i="2"/>
  <c r="AB115" i="2" s="1"/>
  <c r="AA115" i="2" s="1"/>
  <c r="Q116" i="2"/>
  <c r="Q117" i="2"/>
  <c r="AB117" i="2" s="1"/>
  <c r="Q118" i="2"/>
  <c r="Q119" i="2"/>
  <c r="X119" i="2" s="1"/>
  <c r="Q120" i="2"/>
  <c r="Q121" i="2"/>
  <c r="X121" i="2" s="1"/>
  <c r="Q122" i="2"/>
  <c r="Q123" i="2"/>
  <c r="AB123" i="2" s="1"/>
  <c r="AA123" i="2" s="1"/>
  <c r="Q124" i="2"/>
  <c r="Q125" i="2"/>
  <c r="AB125" i="2" s="1"/>
  <c r="Q126" i="2"/>
  <c r="Q127" i="2"/>
  <c r="X127" i="2" s="1"/>
  <c r="Z127" i="2" s="1"/>
  <c r="X39" i="2" l="1"/>
  <c r="AB39" i="2"/>
  <c r="AA39" i="2" s="1"/>
  <c r="X33" i="2"/>
  <c r="X31" i="2"/>
  <c r="Y31" i="2" s="1"/>
  <c r="AC31" i="2" s="1"/>
  <c r="X35" i="2"/>
  <c r="X19" i="2"/>
  <c r="X17" i="2"/>
  <c r="Y17" i="2" s="1"/>
  <c r="AC107" i="2"/>
  <c r="AD107" i="2" s="1"/>
  <c r="Y123" i="2"/>
  <c r="AC123" i="2" s="1"/>
  <c r="Y115" i="2"/>
  <c r="Y99" i="2"/>
  <c r="Y67" i="2"/>
  <c r="AC67" i="2" s="1"/>
  <c r="Z67" i="2"/>
  <c r="Y35" i="2"/>
  <c r="AC35" i="2" s="1"/>
  <c r="Z35" i="2"/>
  <c r="Y121" i="2"/>
  <c r="Z121" i="2"/>
  <c r="Y113" i="2"/>
  <c r="Z113" i="2"/>
  <c r="Y105" i="2"/>
  <c r="Z105" i="2"/>
  <c r="Y97" i="2"/>
  <c r="Z97" i="2"/>
  <c r="Y89" i="2"/>
  <c r="Z89" i="2"/>
  <c r="Y81" i="2"/>
  <c r="Z81" i="2"/>
  <c r="Y73" i="2"/>
  <c r="Z73" i="2"/>
  <c r="Y65" i="2"/>
  <c r="Z65" i="2"/>
  <c r="Y57" i="2"/>
  <c r="Z57" i="2"/>
  <c r="Y49" i="2"/>
  <c r="Z49" i="2"/>
  <c r="Y41" i="2"/>
  <c r="Z41" i="2"/>
  <c r="Y33" i="2"/>
  <c r="Z33" i="2"/>
  <c r="Y25" i="2"/>
  <c r="Z25" i="2"/>
  <c r="Z17" i="2"/>
  <c r="Y114" i="2"/>
  <c r="AC114" i="2" s="1"/>
  <c r="AD114" i="2" s="1"/>
  <c r="Z114" i="2"/>
  <c r="Y98" i="2"/>
  <c r="AC98" i="2" s="1"/>
  <c r="Z98" i="2"/>
  <c r="Y82" i="2"/>
  <c r="Z82" i="2"/>
  <c r="Y58" i="2"/>
  <c r="Z58" i="2"/>
  <c r="Y26" i="2"/>
  <c r="Z26" i="2"/>
  <c r="X112" i="2"/>
  <c r="AB112" i="2"/>
  <c r="AA112" i="2" s="1"/>
  <c r="X88" i="2"/>
  <c r="AB88" i="2"/>
  <c r="AA88" i="2" s="1"/>
  <c r="X56" i="2"/>
  <c r="AB56" i="2"/>
  <c r="AA56" i="2" s="1"/>
  <c r="X48" i="2"/>
  <c r="AB48" i="2"/>
  <c r="AA48" i="2" s="1"/>
  <c r="Y75" i="2"/>
  <c r="AC75" i="2" s="1"/>
  <c r="Z75" i="2"/>
  <c r="Y119" i="2"/>
  <c r="AC119" i="2" s="1"/>
  <c r="Z119" i="2"/>
  <c r="Y111" i="2"/>
  <c r="Z111" i="2"/>
  <c r="Y103" i="2"/>
  <c r="Z103" i="2"/>
  <c r="Y95" i="2"/>
  <c r="AC95" i="2" s="1"/>
  <c r="Z95" i="2"/>
  <c r="Y87" i="2"/>
  <c r="Z87" i="2"/>
  <c r="Y79" i="2"/>
  <c r="AC79" i="2" s="1"/>
  <c r="AD79" i="2" s="1"/>
  <c r="Z79" i="2"/>
  <c r="Y71" i="2"/>
  <c r="AC71" i="2" s="1"/>
  <c r="Z71" i="2"/>
  <c r="Y63" i="2"/>
  <c r="Z63" i="2"/>
  <c r="Y55" i="2"/>
  <c r="AC55" i="2" s="1"/>
  <c r="Z55" i="2"/>
  <c r="Y47" i="2"/>
  <c r="AC47" i="2" s="1"/>
  <c r="Z47" i="2"/>
  <c r="Y39" i="2"/>
  <c r="Z39" i="2"/>
  <c r="Y23" i="2"/>
  <c r="Z23" i="2"/>
  <c r="AB127" i="2"/>
  <c r="AA127" i="2" s="1"/>
  <c r="AB103" i="2"/>
  <c r="AA103" i="2" s="1"/>
  <c r="Y34" i="2"/>
  <c r="Z34" i="2"/>
  <c r="X120" i="2"/>
  <c r="AB120" i="2"/>
  <c r="AA120" i="2" s="1"/>
  <c r="X80" i="2"/>
  <c r="AB80" i="2"/>
  <c r="AA80" i="2" s="1"/>
  <c r="X40" i="2"/>
  <c r="AB40" i="2"/>
  <c r="AA40" i="2" s="1"/>
  <c r="Y43" i="2"/>
  <c r="AC43" i="2" s="1"/>
  <c r="Z43" i="2"/>
  <c r="Y102" i="2"/>
  <c r="AC102" i="2" s="1"/>
  <c r="Z102" i="2"/>
  <c r="Y122" i="2"/>
  <c r="AC122" i="2" s="1"/>
  <c r="Z122" i="2"/>
  <c r="AB87" i="2"/>
  <c r="AA87" i="2" s="1"/>
  <c r="Y83" i="2"/>
  <c r="AC83" i="2" s="1"/>
  <c r="Z83" i="2"/>
  <c r="AB55" i="2"/>
  <c r="AA55" i="2" s="1"/>
  <c r="Y51" i="2"/>
  <c r="AC51" i="2" s="1"/>
  <c r="AD51" i="2" s="1"/>
  <c r="Z51" i="2"/>
  <c r="AB23" i="2"/>
  <c r="AA23" i="2" s="1"/>
  <c r="Y19" i="2"/>
  <c r="AC19" i="2" s="1"/>
  <c r="Z19" i="2"/>
  <c r="Y74" i="2"/>
  <c r="Z74" i="2"/>
  <c r="Y50" i="2"/>
  <c r="Z50" i="2"/>
  <c r="Y18" i="2"/>
  <c r="Z18" i="2"/>
  <c r="X104" i="2"/>
  <c r="AB104" i="2"/>
  <c r="AA104" i="2" s="1"/>
  <c r="X64" i="2"/>
  <c r="AB64" i="2"/>
  <c r="AA64" i="2" s="1"/>
  <c r="X24" i="2"/>
  <c r="AB24" i="2"/>
  <c r="AA24" i="2" s="1"/>
  <c r="Y127" i="2"/>
  <c r="Y106" i="2"/>
  <c r="AC106" i="2" s="1"/>
  <c r="Z106" i="2"/>
  <c r="Y90" i="2"/>
  <c r="Z90" i="2"/>
  <c r="Y66" i="2"/>
  <c r="AC66" i="2" s="1"/>
  <c r="Z66" i="2"/>
  <c r="Y42" i="2"/>
  <c r="AC42" i="2" s="1"/>
  <c r="Z42" i="2"/>
  <c r="Y126" i="2"/>
  <c r="AC126" i="2" s="1"/>
  <c r="Z126" i="2"/>
  <c r="X96" i="2"/>
  <c r="AB96" i="2"/>
  <c r="AA96" i="2" s="1"/>
  <c r="X72" i="2"/>
  <c r="AB72" i="2"/>
  <c r="AA72" i="2" s="1"/>
  <c r="X32" i="2"/>
  <c r="AB32" i="2"/>
  <c r="AA32" i="2" s="1"/>
  <c r="Y110" i="2"/>
  <c r="AC110" i="2" s="1"/>
  <c r="Z110" i="2"/>
  <c r="AB116" i="2"/>
  <c r="AA116" i="2" s="1"/>
  <c r="X116" i="2"/>
  <c r="AB100" i="2"/>
  <c r="AA100" i="2" s="1"/>
  <c r="X100" i="2"/>
  <c r="AB84" i="2"/>
  <c r="AA84" i="2" s="1"/>
  <c r="X84" i="2"/>
  <c r="AB68" i="2"/>
  <c r="AA68" i="2" s="1"/>
  <c r="X68" i="2"/>
  <c r="AB60" i="2"/>
  <c r="AA60" i="2" s="1"/>
  <c r="X60" i="2"/>
  <c r="AB52" i="2"/>
  <c r="AA52" i="2" s="1"/>
  <c r="X52" i="2"/>
  <c r="AB36" i="2"/>
  <c r="AA36" i="2" s="1"/>
  <c r="X36" i="2"/>
  <c r="AB28" i="2"/>
  <c r="AA28" i="2" s="1"/>
  <c r="X28" i="2"/>
  <c r="AB20" i="2"/>
  <c r="AA20" i="2" s="1"/>
  <c r="X20" i="2"/>
  <c r="AC118" i="2"/>
  <c r="AC115" i="2"/>
  <c r="AC99" i="2"/>
  <c r="AB95" i="2"/>
  <c r="AA95" i="2" s="1"/>
  <c r="Y91" i="2"/>
  <c r="AC91" i="2" s="1"/>
  <c r="Z91" i="2"/>
  <c r="AB63" i="2"/>
  <c r="AA63" i="2" s="1"/>
  <c r="Y59" i="2"/>
  <c r="AC59" i="2" s="1"/>
  <c r="Z59" i="2"/>
  <c r="AB31" i="2"/>
  <c r="AA31" i="2" s="1"/>
  <c r="Y27" i="2"/>
  <c r="AC27" i="2" s="1"/>
  <c r="Z27" i="2"/>
  <c r="AB124" i="2"/>
  <c r="AA124" i="2" s="1"/>
  <c r="X124" i="2"/>
  <c r="AB108" i="2"/>
  <c r="AA108" i="2" s="1"/>
  <c r="X108" i="2"/>
  <c r="AB92" i="2"/>
  <c r="AA92" i="2" s="1"/>
  <c r="X92" i="2"/>
  <c r="AB76" i="2"/>
  <c r="AA76" i="2" s="1"/>
  <c r="X76" i="2"/>
  <c r="AB44" i="2"/>
  <c r="AA44" i="2" s="1"/>
  <c r="X44" i="2"/>
  <c r="AB111" i="2"/>
  <c r="AA111" i="2" s="1"/>
  <c r="Z118" i="2"/>
  <c r="X125" i="2"/>
  <c r="AB121" i="2"/>
  <c r="AA121" i="2" s="1"/>
  <c r="X117" i="2"/>
  <c r="AB113" i="2"/>
  <c r="AA113" i="2" s="1"/>
  <c r="X109" i="2"/>
  <c r="AB105" i="2"/>
  <c r="AA105" i="2" s="1"/>
  <c r="X101" i="2"/>
  <c r="AB97" i="2"/>
  <c r="AA97" i="2" s="1"/>
  <c r="X93" i="2"/>
  <c r="AB89" i="2"/>
  <c r="AA89" i="2" s="1"/>
  <c r="X85" i="2"/>
  <c r="AB81" i="2"/>
  <c r="AA81" i="2" s="1"/>
  <c r="X77" i="2"/>
  <c r="AB73" i="2"/>
  <c r="AA73" i="2" s="1"/>
  <c r="X69" i="2"/>
  <c r="AB65" i="2"/>
  <c r="AA65" i="2" s="1"/>
  <c r="X61" i="2"/>
  <c r="AB57" i="2"/>
  <c r="AA57" i="2" s="1"/>
  <c r="X53" i="2"/>
  <c r="AB49" i="2"/>
  <c r="AA49" i="2" s="1"/>
  <c r="X45" i="2"/>
  <c r="AB41" i="2"/>
  <c r="AA41" i="2" s="1"/>
  <c r="X37" i="2"/>
  <c r="AB33" i="2"/>
  <c r="AA33" i="2" s="1"/>
  <c r="X29" i="2"/>
  <c r="AB25" i="2"/>
  <c r="AA25" i="2" s="1"/>
  <c r="X21" i="2"/>
  <c r="AB17" i="2"/>
  <c r="AA17" i="2" s="1"/>
  <c r="X94" i="2"/>
  <c r="AB90" i="2"/>
  <c r="AA90" i="2" s="1"/>
  <c r="X86" i="2"/>
  <c r="AB82" i="2"/>
  <c r="AA82" i="2" s="1"/>
  <c r="X78" i="2"/>
  <c r="AB74" i="2"/>
  <c r="AA74" i="2" s="1"/>
  <c r="X70" i="2"/>
  <c r="AB66" i="2"/>
  <c r="AA66" i="2" s="1"/>
  <c r="X62" i="2"/>
  <c r="AB58" i="2"/>
  <c r="AA58" i="2" s="1"/>
  <c r="X54" i="2"/>
  <c r="AB50" i="2"/>
  <c r="AA50" i="2" s="1"/>
  <c r="X46" i="2"/>
  <c r="AB42" i="2"/>
  <c r="AA42" i="2" s="1"/>
  <c r="X38" i="2"/>
  <c r="AB34" i="2"/>
  <c r="AA34" i="2" s="1"/>
  <c r="X30" i="2"/>
  <c r="AB26" i="2"/>
  <c r="AA26" i="2" s="1"/>
  <c r="X22" i="2"/>
  <c r="AB18" i="2"/>
  <c r="AA18" i="2" s="1"/>
  <c r="T16" i="2"/>
  <c r="Q16" i="2"/>
  <c r="H16" i="2"/>
  <c r="I16" i="2" s="1"/>
  <c r="AC39" i="2" l="1"/>
  <c r="Z31" i="2"/>
  <c r="AC34" i="2"/>
  <c r="AC74" i="2"/>
  <c r="Y78" i="2"/>
  <c r="AC78" i="2" s="1"/>
  <c r="Z78" i="2"/>
  <c r="Y125" i="2"/>
  <c r="AC125" i="2" s="1"/>
  <c r="Z125" i="2"/>
  <c r="Z20" i="2"/>
  <c r="Y20" i="2"/>
  <c r="AC20" i="2" s="1"/>
  <c r="Z60" i="2"/>
  <c r="Y60" i="2"/>
  <c r="AC60" i="2" s="1"/>
  <c r="Y116" i="2"/>
  <c r="AC116" i="2" s="1"/>
  <c r="Z116" i="2"/>
  <c r="Y64" i="2"/>
  <c r="AC64" i="2" s="1"/>
  <c r="Z64" i="2"/>
  <c r="Y22" i="2"/>
  <c r="AC22" i="2" s="1"/>
  <c r="Z22" i="2"/>
  <c r="Y54" i="2"/>
  <c r="AC54" i="2" s="1"/>
  <c r="Z54" i="2"/>
  <c r="Y86" i="2"/>
  <c r="AC86" i="2" s="1"/>
  <c r="AD86" i="2" s="1"/>
  <c r="Z86" i="2"/>
  <c r="Y37" i="2"/>
  <c r="AC37" i="2" s="1"/>
  <c r="Z37" i="2"/>
  <c r="Y69" i="2"/>
  <c r="AC69" i="2" s="1"/>
  <c r="Z69" i="2"/>
  <c r="Y101" i="2"/>
  <c r="AC101" i="2" s="1"/>
  <c r="Z101" i="2"/>
  <c r="Y96" i="2"/>
  <c r="AC96" i="2" s="1"/>
  <c r="Z96" i="2"/>
  <c r="AC90" i="2"/>
  <c r="Y40" i="2"/>
  <c r="AC40" i="2" s="1"/>
  <c r="Z40" i="2"/>
  <c r="AC111" i="2"/>
  <c r="Y56" i="2"/>
  <c r="AC56" i="2" s="1"/>
  <c r="Z56" i="2"/>
  <c r="AC58" i="2"/>
  <c r="AD58" i="2" s="1"/>
  <c r="AC17" i="2"/>
  <c r="AC49" i="2"/>
  <c r="AC81" i="2"/>
  <c r="AC113" i="2"/>
  <c r="Y46" i="2"/>
  <c r="AC46" i="2" s="1"/>
  <c r="Z46" i="2"/>
  <c r="Y93" i="2"/>
  <c r="AC93" i="2" s="1"/>
  <c r="AD93" i="2" s="1"/>
  <c r="Z93" i="2"/>
  <c r="Z44" i="2"/>
  <c r="Y44" i="2"/>
  <c r="AC44" i="2" s="1"/>
  <c r="Y30" i="2"/>
  <c r="AC30" i="2" s="1"/>
  <c r="Z30" i="2"/>
  <c r="Y62" i="2"/>
  <c r="AC62" i="2" s="1"/>
  <c r="Z62" i="2"/>
  <c r="Y94" i="2"/>
  <c r="AC94" i="2" s="1"/>
  <c r="Z94" i="2"/>
  <c r="Y45" i="2"/>
  <c r="AC45" i="2" s="1"/>
  <c r="Z45" i="2"/>
  <c r="Y77" i="2"/>
  <c r="AC77" i="2" s="1"/>
  <c r="Z77" i="2"/>
  <c r="Y109" i="2"/>
  <c r="AC109" i="2" s="1"/>
  <c r="Z109" i="2"/>
  <c r="Y80" i="2"/>
  <c r="AC80" i="2" s="1"/>
  <c r="Z80" i="2"/>
  <c r="AC23" i="2"/>
  <c r="AC87" i="2"/>
  <c r="Y88" i="2"/>
  <c r="AC88" i="2" s="1"/>
  <c r="Z88" i="2"/>
  <c r="AC82" i="2"/>
  <c r="AC25" i="2"/>
  <c r="AC57" i="2"/>
  <c r="AC89" i="2"/>
  <c r="AC121" i="2"/>
  <c r="AD121" i="2" s="1"/>
  <c r="Z76" i="2"/>
  <c r="Y76" i="2"/>
  <c r="AC76" i="2" s="1"/>
  <c r="Z36" i="2"/>
  <c r="Y36" i="2"/>
  <c r="AC36" i="2" s="1"/>
  <c r="Z84" i="2"/>
  <c r="Y84" i="2"/>
  <c r="AC84" i="2" s="1"/>
  <c r="AC127" i="2"/>
  <c r="AC18" i="2"/>
  <c r="Y61" i="2"/>
  <c r="AC61" i="2" s="1"/>
  <c r="Z61" i="2"/>
  <c r="Z108" i="2"/>
  <c r="Y108" i="2"/>
  <c r="AC108" i="2" s="1"/>
  <c r="Z28" i="2"/>
  <c r="Y28" i="2"/>
  <c r="AC28" i="2" s="1"/>
  <c r="AC63" i="2"/>
  <c r="Y112" i="2"/>
  <c r="AC112" i="2" s="1"/>
  <c r="Z112" i="2"/>
  <c r="AC33" i="2"/>
  <c r="AC65" i="2"/>
  <c r="AD65" i="2" s="1"/>
  <c r="AC97" i="2"/>
  <c r="Y29" i="2"/>
  <c r="AC29" i="2" s="1"/>
  <c r="Z29" i="2"/>
  <c r="Y124" i="2"/>
  <c r="AC124" i="2" s="1"/>
  <c r="Z124" i="2"/>
  <c r="Z68" i="2"/>
  <c r="Y68" i="2"/>
  <c r="AC68" i="2" s="1"/>
  <c r="Y104" i="2"/>
  <c r="AC104" i="2" s="1"/>
  <c r="Z104" i="2"/>
  <c r="Y38" i="2"/>
  <c r="AC38" i="2" s="1"/>
  <c r="Z38" i="2"/>
  <c r="Y70" i="2"/>
  <c r="AC70" i="2" s="1"/>
  <c r="Z70" i="2"/>
  <c r="Y21" i="2"/>
  <c r="AC21" i="2" s="1"/>
  <c r="Z21" i="2"/>
  <c r="Y53" i="2"/>
  <c r="AC53" i="2" s="1"/>
  <c r="Z53" i="2"/>
  <c r="Y85" i="2"/>
  <c r="AC85" i="2" s="1"/>
  <c r="Z85" i="2"/>
  <c r="Y117" i="2"/>
  <c r="AC117" i="2" s="1"/>
  <c r="Z117" i="2"/>
  <c r="Y32" i="2"/>
  <c r="AC32" i="2" s="1"/>
  <c r="Z32" i="2"/>
  <c r="Z120" i="2"/>
  <c r="Y120" i="2"/>
  <c r="AC120" i="2" s="1"/>
  <c r="Z92" i="2"/>
  <c r="Y92" i="2"/>
  <c r="AC92" i="2" s="1"/>
  <c r="Z52" i="2"/>
  <c r="Y52" i="2"/>
  <c r="AC52" i="2" s="1"/>
  <c r="Y100" i="2"/>
  <c r="AC100" i="2" s="1"/>
  <c r="AD100" i="2" s="1"/>
  <c r="Z100" i="2"/>
  <c r="Y24" i="2"/>
  <c r="AC24" i="2" s="1"/>
  <c r="Z24" i="2"/>
  <c r="AC50" i="2"/>
  <c r="Y72" i="2"/>
  <c r="AC72" i="2" s="1"/>
  <c r="AD72" i="2" s="1"/>
  <c r="Z72" i="2"/>
  <c r="AC103" i="2"/>
  <c r="Y48" i="2"/>
  <c r="AC48" i="2" s="1"/>
  <c r="Z48" i="2"/>
  <c r="AC26" i="2"/>
  <c r="AC41" i="2"/>
  <c r="AC73" i="2"/>
  <c r="AC105" i="2"/>
  <c r="X16" i="2"/>
  <c r="Y16" i="2" s="1"/>
  <c r="AD44" i="2" l="1"/>
  <c r="AD37" i="2"/>
  <c r="AD30" i="2"/>
  <c r="AD23" i="2"/>
  <c r="Z16" i="2"/>
  <c r="F221" i="6" l="1"/>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H210" i="6"/>
  <c r="B223" i="6"/>
  <c r="B221" i="6"/>
  <c r="B222" i="6"/>
  <c r="L34" i="3" l="1"/>
  <c r="J12" i="3"/>
  <c r="AF54" i="4" l="1"/>
  <c r="AI54" i="4"/>
  <c r="L32" i="4"/>
  <c r="L54" i="4"/>
  <c r="AB52" i="4"/>
  <c r="AB54" i="4"/>
  <c r="Y48" i="4"/>
  <c r="AA48" i="4"/>
  <c r="U30" i="4"/>
  <c r="Y52" i="4"/>
  <c r="AA52" i="4"/>
  <c r="U54" i="4"/>
  <c r="M24" i="4"/>
  <c r="U46" i="4"/>
  <c r="AH20" i="3"/>
  <c r="AF10" i="3"/>
  <c r="V12" i="3"/>
  <c r="V28" i="3"/>
  <c r="P36" i="3"/>
  <c r="Z34" i="3"/>
  <c r="AH26" i="3"/>
  <c r="T10" i="3"/>
  <c r="V20" i="3"/>
  <c r="AB26" i="3"/>
  <c r="AL18" i="3"/>
  <c r="AH28" i="3"/>
  <c r="P26" i="3"/>
  <c r="AB36" i="3"/>
  <c r="AH36" i="3"/>
  <c r="J20" i="3"/>
  <c r="J18" i="3"/>
  <c r="N42" i="3"/>
  <c r="AH44" i="3"/>
  <c r="AH42" i="3"/>
  <c r="P34" i="3"/>
  <c r="J34" i="3"/>
  <c r="AB42" i="3"/>
  <c r="J36" i="3"/>
  <c r="L26" i="3"/>
  <c r="L18" i="3"/>
  <c r="AJ34" i="3"/>
  <c r="V36" i="3"/>
  <c r="V18" i="3"/>
  <c r="AH10" i="3"/>
  <c r="AB18" i="3"/>
  <c r="AL10" i="3"/>
  <c r="Z10" i="3"/>
  <c r="AL42" i="3"/>
  <c r="J44" i="3"/>
  <c r="AB28" i="3"/>
  <c r="V44" i="3"/>
  <c r="AL26" i="3"/>
  <c r="N34" i="3"/>
  <c r="AF42" i="3"/>
  <c r="T34" i="3"/>
  <c r="Z42" i="3"/>
  <c r="L42" i="3"/>
  <c r="R10" i="3"/>
  <c r="AJ42" i="3"/>
  <c r="X42" i="3"/>
  <c r="R18" i="3"/>
  <c r="X26" i="3"/>
  <c r="AJ26" i="3"/>
  <c r="X18" i="3"/>
  <c r="X10" i="3"/>
  <c r="AB20" i="3"/>
  <c r="AB12" i="3"/>
  <c r="AB44" i="3"/>
  <c r="P44" i="3"/>
  <c r="J28" i="3"/>
  <c r="AH12" i="3"/>
  <c r="N10" i="3"/>
  <c r="P10" i="3"/>
  <c r="AH34" i="3"/>
  <c r="AH18" i="3"/>
  <c r="P42" i="3"/>
  <c r="AB34" i="3"/>
  <c r="V42" i="3"/>
  <c r="N26" i="3"/>
  <c r="V10" i="3"/>
  <c r="AF34" i="3"/>
  <c r="AF18" i="3"/>
  <c r="Z18" i="3"/>
  <c r="T18" i="3"/>
  <c r="T42" i="3"/>
  <c r="V34" i="3"/>
  <c r="P18" i="3"/>
  <c r="J10" i="3"/>
  <c r="J26" i="3"/>
  <c r="AB10" i="3"/>
  <c r="J42" i="3"/>
  <c r="N18" i="3"/>
  <c r="AF26" i="3"/>
  <c r="Z26" i="3"/>
  <c r="T26" i="3"/>
  <c r="AL34" i="3"/>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AE50" i="4"/>
  <c r="S50" i="4"/>
  <c r="AK50" i="4"/>
  <c r="M50" i="4"/>
  <c r="AE40" i="4"/>
  <c r="S40" i="4"/>
  <c r="Y50" i="4"/>
  <c r="AK40" i="4"/>
  <c r="Y40" i="4"/>
  <c r="M40" i="4"/>
  <c r="AK30" i="4"/>
  <c r="AE30" i="4"/>
  <c r="S30" i="4"/>
  <c r="Y30" i="4"/>
  <c r="M30" i="4"/>
  <c r="AK20" i="4"/>
  <c r="Y20" i="4"/>
  <c r="M20" i="4"/>
  <c r="AK10" i="4"/>
  <c r="AE10" i="4"/>
  <c r="S10" i="4"/>
  <c r="S20" i="4"/>
  <c r="AE20" i="4"/>
  <c r="Y10" i="4"/>
  <c r="M10" i="4"/>
  <c r="Z54" i="4"/>
  <c r="N44" i="4"/>
  <c r="T44" i="4"/>
  <c r="T34" i="4"/>
  <c r="AF44" i="4"/>
  <c r="Z34" i="4"/>
  <c r="Z24" i="4"/>
  <c r="AL14" i="4"/>
  <c r="N14" i="4"/>
  <c r="AF24" i="4"/>
  <c r="AF14" i="4"/>
  <c r="N34" i="4"/>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W54" i="4"/>
  <c r="K54" i="4"/>
  <c r="K44" i="4"/>
  <c r="Q54" i="4"/>
  <c r="Q34" i="4"/>
  <c r="W34" i="4"/>
  <c r="AC14" i="4"/>
  <c r="Q14" i="4"/>
  <c r="W24" i="4"/>
  <c r="AI14" i="4"/>
  <c r="AD26" i="3"/>
  <c r="AD10" i="3"/>
  <c r="AD18" i="3"/>
  <c r="AJ10" i="3"/>
  <c r="R34" i="3"/>
  <c r="AD34" i="3"/>
  <c r="AJ18" i="3"/>
  <c r="L10" i="3"/>
  <c r="R26" i="3"/>
  <c r="R42" i="3"/>
  <c r="AD42" i="3"/>
  <c r="X34" i="3"/>
  <c r="V26" i="3"/>
  <c r="P28" i="3"/>
  <c r="P12" i="3"/>
  <c r="P20" i="3"/>
  <c r="P49" i="4" l="1"/>
  <c r="AB51" i="4"/>
  <c r="T14" i="4"/>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B50" i="4"/>
  <c r="J50" i="4"/>
  <c r="AH30"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20"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V30" i="4"/>
  <c r="AB40" i="4"/>
  <c r="P50" i="4"/>
  <c r="AB10" i="4"/>
  <c r="J20" i="4"/>
  <c r="V50" i="4"/>
  <c r="J10" i="4"/>
  <c r="AH20" i="4"/>
  <c r="V40" i="4"/>
  <c r="P30" i="4"/>
  <c r="AB20" i="4"/>
  <c r="V20" i="4"/>
  <c r="AB30" i="4"/>
  <c r="J40" i="4"/>
  <c r="AH50" i="4"/>
  <c r="P10" i="4"/>
  <c r="V10" i="4"/>
  <c r="AH10" i="4"/>
  <c r="J30" i="4"/>
  <c r="P40" i="4"/>
  <c r="AH40" i="4"/>
  <c r="U36" i="4"/>
  <c r="AM16" i="4"/>
  <c r="O6" i="4"/>
  <c r="AA46" i="4"/>
  <c r="AG16" i="4"/>
  <c r="AM46" i="4"/>
  <c r="AG6" i="4"/>
  <c r="AG26" i="4"/>
  <c r="AA6" i="4"/>
  <c r="AG36" i="4"/>
  <c r="AA26" i="4"/>
  <c r="O16" i="4"/>
  <c r="O36" i="4"/>
  <c r="AG46" i="4"/>
  <c r="AM26" i="4"/>
  <c r="O26" i="4"/>
  <c r="U16" i="4"/>
  <c r="AA36" i="4"/>
  <c r="O46" i="4"/>
  <c r="U6" i="4"/>
  <c r="AA16" i="4"/>
  <c r="AM6" i="4"/>
  <c r="U26" i="4"/>
  <c r="AM36" i="4"/>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V51" i="4"/>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C53" i="4"/>
  <c r="Q53" i="4"/>
  <c r="AI53" i="4"/>
  <c r="K53" i="4"/>
  <c r="AC43" i="4"/>
  <c r="Q43" i="4"/>
  <c r="W53" i="4"/>
  <c r="AI43" i="4"/>
  <c r="W43" i="4"/>
  <c r="K43" i="4"/>
  <c r="AI33" i="4"/>
  <c r="W33" i="4"/>
  <c r="K33" i="4"/>
  <c r="AC33" i="4"/>
  <c r="Q33" i="4"/>
  <c r="AI23" i="4"/>
  <c r="W23" i="4"/>
  <c r="K23" i="4"/>
  <c r="AI13" i="4"/>
  <c r="W13" i="4"/>
  <c r="K13" i="4"/>
  <c r="AC23" i="4"/>
  <c r="Q13" i="4"/>
  <c r="Q23" i="4"/>
  <c r="AC13"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AB31" i="4" l="1"/>
  <c r="J51" i="4"/>
  <c r="P31" i="4"/>
  <c r="J31" i="4"/>
  <c r="V31" i="4"/>
  <c r="AH11" i="4"/>
  <c r="P21" i="4"/>
  <c r="AH41" i="4"/>
  <c r="J21" i="4"/>
  <c r="AB21" i="4"/>
  <c r="P41" i="4"/>
  <c r="J11" i="4"/>
  <c r="V21" i="4"/>
  <c r="P11" i="4"/>
  <c r="V41" i="4"/>
  <c r="AH31" i="4"/>
  <c r="AB41" i="4"/>
  <c r="AH51" i="4"/>
  <c r="V11" i="4"/>
  <c r="AH21" i="4"/>
  <c r="AB11" i="4"/>
  <c r="J41" i="4"/>
  <c r="P51" i="4"/>
  <c r="AC7" i="4"/>
  <c r="W27" i="4"/>
  <c r="Q27" i="4"/>
  <c r="W17" i="4"/>
  <c r="Q37" i="4"/>
  <c r="AI47" i="4"/>
  <c r="AC27" i="4"/>
  <c r="K17" i="4"/>
  <c r="AI27" i="4"/>
  <c r="AI37" i="4"/>
  <c r="W7" i="4"/>
  <c r="Q7" i="4"/>
  <c r="AI17" i="4"/>
  <c r="K37" i="4"/>
  <c r="W47" i="4"/>
  <c r="K7" i="4"/>
  <c r="AC17" i="4"/>
  <c r="Q17" i="4"/>
  <c r="K27" i="4"/>
  <c r="AC37" i="4"/>
  <c r="K47" i="4"/>
  <c r="R27" i="4"/>
  <c r="AH9" i="4"/>
  <c r="AB49" i="4"/>
  <c r="V49" i="4"/>
  <c r="AH49" i="4"/>
  <c r="AH19" i="4"/>
  <c r="AB9" i="4"/>
  <c r="P29" i="4"/>
  <c r="V19" i="4"/>
  <c r="J39" i="4"/>
  <c r="P9" i="4"/>
  <c r="V29" i="4"/>
  <c r="V39" i="4"/>
  <c r="AB19" i="4"/>
  <c r="P39" i="4"/>
  <c r="J9" i="4"/>
  <c r="J19" i="4"/>
  <c r="AH29" i="4"/>
  <c r="AB29" i="4"/>
  <c r="J49" i="4"/>
  <c r="V9" i="4"/>
  <c r="AH39" i="4"/>
  <c r="J29" i="4"/>
  <c r="P19" i="4"/>
  <c r="AB39" i="4"/>
  <c r="AD10" i="4" l="1"/>
  <c r="R6" i="4"/>
  <c r="AJ6" i="4"/>
  <c r="AD51" i="4"/>
  <c r="R41" i="4"/>
  <c r="AJ11" i="4"/>
  <c r="R11" i="4"/>
  <c r="R51" i="4"/>
  <c r="X41" i="4"/>
  <c r="AD41" i="4"/>
  <c r="AJ21" i="4"/>
  <c r="X11" i="4"/>
  <c r="R21" i="4"/>
  <c r="X21" i="4"/>
  <c r="AJ51" i="4"/>
  <c r="L41" i="4"/>
  <c r="AD31" i="4"/>
  <c r="L11" i="4"/>
  <c r="AD11" i="4"/>
  <c r="L51" i="4"/>
  <c r="X51" i="4"/>
  <c r="R31" i="4"/>
  <c r="L21" i="4"/>
  <c r="L31" i="4"/>
  <c r="X31" i="4"/>
  <c r="AJ41" i="4"/>
  <c r="AJ31" i="4"/>
  <c r="AD21" i="4"/>
  <c r="AC51" i="4"/>
  <c r="K31" i="4"/>
  <c r="K11" i="4"/>
  <c r="Q51" i="4"/>
  <c r="AI51" i="4"/>
  <c r="K41" i="4"/>
  <c r="AC31" i="4"/>
  <c r="K21" i="4"/>
  <c r="Q11" i="4"/>
  <c r="W51" i="4"/>
  <c r="AI31" i="4"/>
  <c r="AI11" i="4"/>
  <c r="K51" i="4"/>
  <c r="Q31" i="4"/>
  <c r="Q21" i="4"/>
  <c r="AC41" i="4"/>
  <c r="AI41" i="4"/>
  <c r="W31" i="4"/>
  <c r="AI21" i="4"/>
  <c r="W11" i="4"/>
  <c r="AC11" i="4"/>
  <c r="Q41" i="4"/>
  <c r="W41" i="4"/>
  <c r="W21" i="4"/>
  <c r="AC21" i="4"/>
  <c r="AJ26" i="4"/>
  <c r="AJ16" i="4"/>
  <c r="R50" i="4"/>
  <c r="L46" i="4"/>
  <c r="R36" i="4"/>
  <c r="AD16" i="4"/>
  <c r="R16" i="4"/>
  <c r="X6" i="4"/>
  <c r="AD36" i="4"/>
  <c r="X30" i="4"/>
  <c r="AJ30" i="4"/>
  <c r="L20" i="4"/>
  <c r="X46" i="4"/>
  <c r="R26" i="4"/>
  <c r="L26" i="4"/>
  <c r="X36" i="4"/>
  <c r="L16" i="4"/>
  <c r="X16" i="4"/>
  <c r="AJ46" i="4"/>
  <c r="AJ40" i="4"/>
  <c r="R46" i="4"/>
  <c r="AD46" i="4"/>
  <c r="L6" i="4"/>
  <c r="AD6" i="4"/>
  <c r="AD26" i="4"/>
  <c r="L36" i="4"/>
  <c r="X26" i="4"/>
  <c r="AJ36" i="4"/>
  <c r="L30" i="4"/>
  <c r="X40" i="4"/>
  <c r="AD30" i="4"/>
  <c r="L40" i="4"/>
  <c r="R20" i="4"/>
  <c r="R40" i="4"/>
  <c r="AC50" i="4"/>
  <c r="AC10" i="4"/>
  <c r="Q20" i="4"/>
  <c r="K10" i="4"/>
  <c r="K50" i="4"/>
  <c r="AC20" i="4"/>
  <c r="Q10" i="4"/>
  <c r="Q50" i="4"/>
  <c r="Q40" i="4"/>
  <c r="Q30" i="4"/>
  <c r="K20" i="4"/>
  <c r="AC40" i="4"/>
  <c r="AC30" i="4"/>
  <c r="AI10" i="4"/>
  <c r="W40" i="4"/>
  <c r="AI30" i="4"/>
  <c r="AI20" i="4"/>
  <c r="AI40" i="4"/>
  <c r="K30" i="4"/>
  <c r="W10" i="4"/>
  <c r="W50" i="4"/>
  <c r="K40" i="4"/>
  <c r="W20" i="4"/>
  <c r="AI50" i="4"/>
  <c r="W30" i="4"/>
  <c r="Q38" i="4"/>
  <c r="R18" i="4"/>
  <c r="X47" i="4"/>
  <c r="L37" i="4"/>
  <c r="L17" i="4"/>
  <c r="X37" i="4"/>
  <c r="AD17" i="4"/>
  <c r="R17" i="4"/>
  <c r="AD27" i="4"/>
  <c r="R47" i="4"/>
  <c r="L47" i="4"/>
  <c r="AD47" i="4"/>
  <c r="AJ47" i="4"/>
  <c r="X27" i="4"/>
  <c r="AD37" i="4"/>
  <c r="X7" i="4"/>
  <c r="AJ27" i="4"/>
  <c r="AJ37" i="4"/>
  <c r="R37" i="4"/>
  <c r="L7" i="4"/>
  <c r="AJ7" i="4"/>
  <c r="AD7" i="4"/>
  <c r="L27" i="4"/>
  <c r="R7" i="4"/>
  <c r="X17" i="4"/>
  <c r="AJ17" i="4"/>
  <c r="R39" i="4"/>
  <c r="AI49" i="4"/>
  <c r="W49" i="4"/>
  <c r="AI29" i="4"/>
  <c r="W19" i="4"/>
  <c r="Q19" i="4"/>
  <c r="W9" i="4"/>
  <c r="W39" i="4"/>
  <c r="Q39" i="4"/>
  <c r="AI19" i="4"/>
  <c r="AI9" i="4"/>
  <c r="K49" i="4"/>
  <c r="AI39" i="4"/>
  <c r="W29" i="4"/>
  <c r="K19" i="4"/>
  <c r="Q29" i="4"/>
  <c r="K9" i="4"/>
  <c r="AC49" i="4"/>
  <c r="K29" i="4"/>
  <c r="AC9" i="4"/>
  <c r="AC29" i="4"/>
  <c r="Q49" i="4"/>
  <c r="K39" i="4"/>
  <c r="Q9" i="4"/>
  <c r="AC39" i="4"/>
  <c r="AC19" i="4"/>
  <c r="X49" i="4"/>
  <c r="AD39" i="4"/>
  <c r="M46" i="4"/>
  <c r="AK36" i="4"/>
  <c r="S26" i="4"/>
  <c r="AE16" i="4"/>
  <c r="M26" i="4"/>
  <c r="AK6" i="4"/>
  <c r="M6" i="4"/>
  <c r="Y6" i="4"/>
  <c r="AK16" i="4"/>
  <c r="M16" i="4"/>
  <c r="Y36" i="4"/>
  <c r="AE6" i="4"/>
  <c r="S46" i="4"/>
  <c r="Y46" i="4"/>
  <c r="Y26" i="4"/>
  <c r="AK26" i="4"/>
  <c r="AE26" i="4"/>
  <c r="AE46" i="4"/>
  <c r="M36" i="4"/>
  <c r="Y16" i="4"/>
  <c r="S36" i="4"/>
  <c r="AK46" i="4"/>
  <c r="S16" i="4"/>
  <c r="AE36" i="4"/>
  <c r="S6" i="4"/>
  <c r="L10" i="4" l="1"/>
  <c r="AJ10" i="4"/>
  <c r="AJ20" i="4"/>
  <c r="X20" i="4"/>
  <c r="AJ50" i="4"/>
  <c r="AD50" i="4"/>
  <c r="AD20" i="4"/>
  <c r="L50" i="4"/>
  <c r="R30" i="4"/>
  <c r="X10" i="4"/>
  <c r="R10" i="4"/>
  <c r="X50" i="4"/>
  <c r="AD40" i="4"/>
  <c r="AJ48" i="4"/>
  <c r="AJ28" i="4"/>
  <c r="X48" i="4"/>
  <c r="AJ18" i="4"/>
  <c r="AD18" i="4"/>
  <c r="L28" i="4"/>
  <c r="L18" i="4"/>
  <c r="R28" i="4"/>
  <c r="AD48" i="4"/>
  <c r="AD28" i="4"/>
  <c r="R38" i="4"/>
  <c r="L8" i="4"/>
  <c r="X8" i="4"/>
  <c r="L38" i="4"/>
  <c r="X38" i="4"/>
  <c r="AD38" i="4"/>
  <c r="X18" i="4"/>
  <c r="AD8" i="4"/>
  <c r="R48" i="4"/>
  <c r="X28" i="4"/>
  <c r="AJ8" i="4"/>
  <c r="R8" i="4"/>
  <c r="AJ38" i="4"/>
  <c r="L48" i="4"/>
  <c r="AC28" i="4"/>
  <c r="W8" i="4"/>
  <c r="AI8" i="4"/>
  <c r="Q48" i="4"/>
  <c r="AI38" i="4"/>
  <c r="K8" i="4"/>
  <c r="K48" i="4"/>
  <c r="K38" i="4"/>
  <c r="AC18" i="4"/>
  <c r="W48" i="4"/>
  <c r="AI28" i="4"/>
  <c r="AC48" i="4"/>
  <c r="K28" i="4"/>
  <c r="K18" i="4"/>
  <c r="AC8" i="4"/>
  <c r="Q28" i="4"/>
  <c r="Q18" i="4"/>
  <c r="AI48" i="4"/>
  <c r="W38" i="4"/>
  <c r="Q8" i="4"/>
  <c r="AC38" i="4"/>
  <c r="W18" i="4"/>
  <c r="AI18" i="4"/>
  <c r="W28" i="4"/>
  <c r="AD29" i="4"/>
  <c r="AD49" i="4"/>
  <c r="AJ19" i="4"/>
  <c r="AJ39" i="4"/>
  <c r="X29" i="4"/>
  <c r="L49" i="4"/>
  <c r="AJ9" i="4"/>
  <c r="AD9" i="4"/>
  <c r="L29" i="4"/>
  <c r="X39" i="4"/>
  <c r="R19" i="4"/>
  <c r="L9" i="4"/>
  <c r="X9" i="4"/>
  <c r="X19" i="4"/>
  <c r="R49" i="4"/>
  <c r="AJ49" i="4"/>
  <c r="AD19" i="4"/>
  <c r="R9" i="4"/>
  <c r="AJ29" i="4"/>
  <c r="L19" i="4"/>
  <c r="L39" i="4"/>
  <c r="R29" i="4"/>
  <c r="AK39" i="4"/>
  <c r="Z36" i="4"/>
  <c r="AL26" i="4"/>
  <c r="AL46" i="4"/>
  <c r="N16" i="4"/>
  <c r="N36" i="4"/>
  <c r="T46" i="4"/>
  <c r="N26" i="4"/>
  <c r="T6" i="4"/>
  <c r="AF6" i="4"/>
  <c r="Z46" i="4"/>
  <c r="T26" i="4"/>
  <c r="AL6" i="4"/>
  <c r="AL36" i="4"/>
  <c r="Z26" i="4"/>
  <c r="Z16" i="4"/>
  <c r="T16" i="4"/>
  <c r="T36" i="4"/>
  <c r="N46" i="4"/>
  <c r="N6" i="4"/>
  <c r="Z6" i="4"/>
  <c r="AF36" i="4"/>
  <c r="AF26" i="4"/>
  <c r="AF46" i="4"/>
  <c r="AL16" i="4"/>
  <c r="AF16" i="4"/>
  <c r="M9" i="4" l="1"/>
  <c r="M39" i="4"/>
  <c r="Y29" i="4"/>
  <c r="Y49" i="4"/>
  <c r="M49" i="4"/>
  <c r="S49" i="4"/>
  <c r="S9" i="4"/>
  <c r="AK9" i="4"/>
  <c r="Y9" i="4"/>
  <c r="AK29" i="4"/>
  <c r="AE19" i="4"/>
  <c r="AE49" i="4"/>
  <c r="S19" i="4"/>
  <c r="AE39" i="4"/>
  <c r="S39" i="4"/>
  <c r="M29" i="4"/>
  <c r="Y19" i="4"/>
  <c r="AK49" i="4"/>
  <c r="T49" i="4"/>
  <c r="AK19" i="4"/>
  <c r="AE29" i="4"/>
  <c r="AE9" i="4"/>
  <c r="Y39" i="4"/>
  <c r="S29" i="4"/>
  <c r="M19" i="4"/>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 r="N6" i="3" l="1"/>
  <c r="N16" i="2"/>
  <c r="N24" i="3"/>
  <c r="N16" i="3"/>
  <c r="N32" i="3"/>
  <c r="AL16" i="3"/>
  <c r="Z32" i="3"/>
  <c r="AF32" i="3"/>
  <c r="Z24" i="3"/>
  <c r="N8" i="3"/>
  <c r="AF16" i="3"/>
  <c r="N40" i="3"/>
  <c r="AL8" i="3"/>
  <c r="AL40" i="3"/>
  <c r="AF40" i="3"/>
  <c r="T32" i="3"/>
  <c r="T40" i="3"/>
  <c r="T16" i="3"/>
  <c r="Z8" i="3"/>
  <c r="AF24" i="3"/>
  <c r="AL32" i="3"/>
  <c r="Z16" i="3"/>
  <c r="T24" i="3"/>
  <c r="T8" i="3"/>
  <c r="AL24" i="3"/>
  <c r="AF8" i="3"/>
  <c r="Z40" i="3"/>
  <c r="P40" i="3"/>
  <c r="P16" i="3"/>
  <c r="P8" i="3"/>
  <c r="V40" i="3"/>
  <c r="V32" i="3"/>
  <c r="AB8" i="3"/>
  <c r="V16" i="3"/>
  <c r="J8" i="3"/>
  <c r="AB40" i="3"/>
  <c r="V24" i="3"/>
  <c r="P32" i="3"/>
  <c r="AB16" i="3"/>
  <c r="J40" i="3"/>
  <c r="J16" i="3"/>
  <c r="AH32" i="3"/>
  <c r="AH24" i="3"/>
  <c r="AH8" i="3"/>
  <c r="V8" i="3"/>
  <c r="J32" i="3"/>
  <c r="J24" i="3"/>
  <c r="AB32" i="3"/>
  <c r="AH16" i="3"/>
  <c r="P24" i="3"/>
  <c r="AH40" i="3"/>
  <c r="AB24" i="3"/>
  <c r="X38" i="3"/>
  <c r="R6" i="3"/>
  <c r="L6" i="3"/>
  <c r="L14" i="3"/>
  <c r="L30" i="3"/>
  <c r="R30" i="3"/>
  <c r="AD14" i="3"/>
  <c r="L38" i="3"/>
  <c r="AJ22" i="3"/>
  <c r="R14" i="3"/>
  <c r="X30" i="3"/>
  <c r="AD38" i="3"/>
  <c r="X14" i="3"/>
  <c r="R38" i="3"/>
  <c r="AJ14" i="3"/>
  <c r="AD30" i="3"/>
  <c r="L22" i="3"/>
  <c r="AJ30" i="3"/>
  <c r="AD22" i="3"/>
  <c r="R22" i="3"/>
  <c r="X6" i="3"/>
  <c r="AJ6" i="3"/>
  <c r="AD6" i="3"/>
  <c r="X22" i="3"/>
  <c r="AJ38" i="3"/>
  <c r="J38" i="3" l="1"/>
  <c r="V6" i="3"/>
  <c r="AH14" i="3"/>
  <c r="AB38" i="3"/>
  <c r="AH22" i="3"/>
  <c r="AH30" i="3"/>
  <c r="P30" i="3"/>
  <c r="J30" i="3"/>
  <c r="AB22" i="3"/>
  <c r="AL30" i="3"/>
  <c r="AL22" i="3"/>
  <c r="T30" i="3"/>
  <c r="AF30" i="3"/>
  <c r="AF22" i="3"/>
  <c r="Z14" i="3"/>
  <c r="N14" i="3"/>
  <c r="AF6" i="3"/>
  <c r="AL38" i="3"/>
  <c r="T14" i="3"/>
  <c r="T6" i="3"/>
  <c r="Z38" i="3"/>
  <c r="T38" i="3"/>
  <c r="Z22" i="3"/>
  <c r="AL6" i="3"/>
  <c r="AF38" i="3"/>
  <c r="N30" i="3"/>
  <c r="AL14" i="3"/>
  <c r="N22" i="3"/>
  <c r="Z6" i="3"/>
  <c r="AF14" i="3"/>
  <c r="T22" i="3"/>
  <c r="N38" i="3"/>
  <c r="L24" i="3"/>
  <c r="AJ32" i="3"/>
  <c r="Z30" i="3"/>
  <c r="X24" i="3"/>
  <c r="X8" i="3"/>
  <c r="R32" i="3"/>
  <c r="L8" i="3"/>
  <c r="AJ40" i="3"/>
  <c r="AD32" i="3"/>
  <c r="AJ8" i="3"/>
  <c r="L16" i="3"/>
  <c r="L32" i="3"/>
  <c r="X16" i="3"/>
  <c r="AD24" i="3"/>
  <c r="AJ24" i="3"/>
  <c r="AD16" i="3"/>
  <c r="R24" i="3"/>
  <c r="AD8" i="3"/>
  <c r="R8" i="3"/>
  <c r="R40" i="3"/>
  <c r="R16" i="3"/>
  <c r="AJ16" i="3"/>
  <c r="X32" i="3"/>
  <c r="X40" i="3"/>
  <c r="AD40" i="3"/>
  <c r="L40" i="3"/>
  <c r="J22" i="3"/>
  <c r="P22" i="3"/>
  <c r="AB14" i="3"/>
  <c r="AH6" i="3"/>
  <c r="V38" i="3"/>
  <c r="AB6" i="3"/>
  <c r="V14" i="3"/>
  <c r="V30" i="3"/>
  <c r="AH38" i="3"/>
  <c r="P38" i="3"/>
  <c r="V22" i="3"/>
  <c r="AB30" i="3"/>
  <c r="P6" i="3"/>
  <c r="J14" i="3"/>
  <c r="P14" i="3"/>
  <c r="J6" i="3"/>
  <c r="AB16" i="2" l="1"/>
  <c r="J47" i="4"/>
  <c r="AH27" i="4"/>
  <c r="J27" i="4"/>
  <c r="AB37" i="4"/>
  <c r="AB27" i="4"/>
  <c r="AB17" i="4"/>
  <c r="V47" i="4"/>
  <c r="V37" i="4"/>
  <c r="P27" i="4"/>
  <c r="P47" i="4"/>
  <c r="AH37" i="4"/>
  <c r="V27" i="4"/>
  <c r="AH7" i="4"/>
  <c r="AH17" i="4"/>
  <c r="AB47" i="4"/>
  <c r="P17" i="4"/>
  <c r="J17" i="4"/>
  <c r="J37" i="4"/>
  <c r="V17" i="4"/>
  <c r="J7" i="4"/>
  <c r="P37" i="4"/>
  <c r="P7" i="4"/>
  <c r="AH47" i="4"/>
  <c r="AB7" i="4"/>
  <c r="V7" i="4"/>
  <c r="J18" i="4"/>
  <c r="V48" i="4"/>
  <c r="J8" i="4"/>
  <c r="P18" i="4"/>
  <c r="V18" i="4"/>
  <c r="V28" i="4"/>
  <c r="P48" i="4"/>
  <c r="AH18" i="4"/>
  <c r="AB8" i="4"/>
  <c r="AB18" i="4"/>
  <c r="V8" i="4"/>
  <c r="AH38" i="4"/>
  <c r="P8" i="4"/>
  <c r="AB38" i="4"/>
  <c r="J38" i="4"/>
  <c r="AH28" i="4"/>
  <c r="AB28" i="4"/>
  <c r="AB48" i="4"/>
  <c r="AH8" i="4"/>
  <c r="J48" i="4"/>
  <c r="V38" i="4"/>
  <c r="P38" i="4"/>
  <c r="J28" i="4"/>
  <c r="AH48" i="4"/>
  <c r="P28" i="4"/>
  <c r="T27" i="4"/>
  <c r="AF7" i="4"/>
  <c r="T37" i="4"/>
  <c r="Z27" i="4"/>
  <c r="N7" i="4"/>
  <c r="Z7" i="4"/>
  <c r="AF37" i="4"/>
  <c r="AL27" i="4"/>
  <c r="N37" i="4"/>
  <c r="N17" i="4"/>
  <c r="AF27" i="4"/>
  <c r="Z47" i="4"/>
  <c r="AL17" i="4"/>
  <c r="AL7" i="4"/>
  <c r="Z17" i="4"/>
  <c r="AF47" i="4"/>
  <c r="N27" i="4"/>
  <c r="AL47" i="4"/>
  <c r="T47" i="4"/>
  <c r="Z37" i="4"/>
  <c r="AL37" i="4"/>
  <c r="N47" i="4"/>
  <c r="T17" i="4"/>
  <c r="AF17" i="4"/>
  <c r="T7" i="4"/>
  <c r="AM17" i="4"/>
  <c r="O7" i="4"/>
  <c r="AG7" i="4"/>
  <c r="AG17" i="4"/>
  <c r="AA47" i="4"/>
  <c r="AA7" i="4"/>
  <c r="AA27" i="4"/>
  <c r="AG27" i="4"/>
  <c r="AM7" i="4"/>
  <c r="U27" i="4"/>
  <c r="AG47" i="4"/>
  <c r="U7" i="4"/>
  <c r="O47" i="4"/>
  <c r="U17" i="4"/>
  <c r="AG37" i="4"/>
  <c r="U47" i="4"/>
  <c r="O37" i="4"/>
  <c r="AM47" i="4"/>
  <c r="O27" i="4"/>
  <c r="AA37" i="4"/>
  <c r="AM37" i="4"/>
  <c r="O17" i="4"/>
  <c r="AM27" i="4"/>
  <c r="U37" i="4"/>
  <c r="AA17" i="4"/>
  <c r="Q46" i="4" l="1"/>
  <c r="K16" i="4"/>
  <c r="AC6" i="4"/>
  <c r="AC26" i="4"/>
  <c r="K26" i="4"/>
  <c r="K46" i="4"/>
  <c r="AI46" i="4"/>
  <c r="K6" i="4"/>
  <c r="AC16" i="4"/>
  <c r="AI6" i="4"/>
  <c r="W6" i="4"/>
  <c r="Q6" i="4"/>
  <c r="AI16" i="4"/>
  <c r="K36" i="4"/>
  <c r="Q26" i="4"/>
  <c r="AC36" i="4"/>
  <c r="W26" i="4"/>
  <c r="W16" i="4"/>
  <c r="AI26" i="4"/>
  <c r="AC46" i="4"/>
  <c r="W46" i="4"/>
  <c r="Q36" i="4"/>
  <c r="AI36" i="4"/>
  <c r="W36" i="4"/>
  <c r="Q16" i="4"/>
  <c r="AA16" i="2"/>
  <c r="V16" i="4" l="1"/>
  <c r="J46" i="4"/>
  <c r="J16" i="4"/>
  <c r="AB6" i="4"/>
  <c r="AC16" i="2"/>
  <c r="AD16" i="2" s="1"/>
  <c r="P46" i="4"/>
  <c r="AH36" i="4"/>
  <c r="V36" i="4"/>
  <c r="AB26" i="4"/>
  <c r="P6" i="4"/>
  <c r="AB46" i="4"/>
  <c r="P36" i="4"/>
  <c r="AH26" i="4"/>
  <c r="V6" i="4"/>
  <c r="J36" i="4"/>
  <c r="V46" i="4"/>
  <c r="J6" i="4"/>
  <c r="J26" i="4"/>
  <c r="P26" i="4"/>
  <c r="AH16" i="4"/>
  <c r="AH46" i="4"/>
  <c r="AB36" i="4"/>
  <c r="V26" i="4"/>
  <c r="AH6" i="4"/>
  <c r="P16" i="4"/>
  <c r="AB16" i="4"/>
</calcChain>
</file>

<file path=xl/sharedStrings.xml><?xml version="1.0" encoding="utf-8"?>
<sst xmlns="http://schemas.openxmlformats.org/spreadsheetml/2006/main" count="509" uniqueCount="281">
  <si>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</si>
  <si>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</si>
  <si>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</si>
  <si>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</si>
  <si>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</si>
  <si>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</si>
  <si>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</si>
  <si>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</si>
  <si>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</si>
  <si>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</si>
  <si>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</si>
  <si>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</si>
  <si>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</si>
  <si>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</si>
  <si>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</si>
  <si>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</si>
  <si>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</si>
  <si>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</si>
  <si>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</si>
  <si>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</si>
  <si>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</si>
  <si>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</si>
  <si>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</si>
  <si>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</si>
  <si>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</si>
  <si>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</si>
  <si>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</si>
  <si>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</si>
  <si>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</si>
  <si>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</si>
  <si>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</si>
  <si>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</si>
  <si>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</si>
  <si>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</si>
  <si>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</si>
  <si>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</si>
  <si>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</si>
  <si>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</si>
  <si>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</si>
  <si>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</si>
  <si>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</si>
  <si>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</si>
  <si>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</si>
  <si>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</si>
  <si>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</si>
  <si>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</si>
  <si>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</si>
  <si>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</si>
  <si>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</si>
  <si>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</si>
  <si>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</si>
  <si>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</si>
  <si>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</si>
  <si>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</si>
  <si>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</si>
  <si>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</si>
  <si>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</si>
  <si>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</si>
  <si>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</si>
  <si>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</si>
  <si>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</si>
  <si>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</si>
  <si>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</si>
  <si>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</si>
  <si>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</si>
  <si>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</si>
  <si>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</si>
  <si>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</si>
  <si>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</si>
  <si>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</si>
  <si>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</si>
  <si>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</si>
  <si>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</si>
  <si>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</si>
  <si>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</si>
  <si>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</si>
  <si>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</si>
  <si>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</si>
  <si>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</si>
  <si>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</si>
  <si>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</si>
  <si>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</si>
  <si>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</si>
  <si>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</si>
  <si>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</si>
  <si>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</si>
  <si>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</si>
  <si>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</si>
  <si>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</si>
  <si>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</si>
  <si>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</si>
  <si>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</si>
  <si>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</si>
  <si>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</si>
  <si>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</si>
  <si>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</si>
  <si>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</si>
  <si>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</si>
  <si>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</si>
  <si>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</si>
  <si>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</si>
  <si>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</si>
  <si>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</si>
  <si>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</si>
  <si>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</si>
  <si>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</si>
  <si>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</si>
  <si>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</si>
  <si>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</si>
  <si>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</si>
  <si>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</si>
  <si>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</si>
  <si>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</si>
  <si>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</si>
  <si>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</si>
  <si>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</si>
  <si>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</si>
  <si>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</si>
  <si>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</si>
  <si>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</si>
  <si>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</si>
  <si>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</si>
  <si>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</si>
  <si>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</si>
  <si>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</si>
  <si>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</si>
  <si>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</si>
  <si>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</si>
  <si>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</si>
  <si>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</si>
  <si>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</si>
  <si>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</si>
  <si>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</si>
  <si>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</si>
  <si>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</si>
  <si>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</si>
  <si>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</si>
  <si>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</si>
  <si>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</si>
  <si>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</si>
  <si>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</si>
  <si>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</si>
  <si>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</si>
  <si>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</si>
  <si>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</si>
  <si>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</si>
  <si>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</si>
  <si>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</si>
  <si>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</si>
  <si>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</si>
  <si>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</si>
  <si>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</si>
  <si>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</si>
  <si>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</si>
  <si>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</si>
  <si>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</si>
  <si>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</si>
  <si>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</si>
  <si>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</si>
  <si>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</si>
  <si>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</si>
  <si>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</si>
  <si>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</si>
  <si>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</si>
  <si>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</si>
  <si>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</si>
  <si>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</si>
  <si>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</si>
  <si>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</si>
  <si>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</si>
  <si>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</si>
  <si>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</si>
  <si>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</si>
  <si>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</si>
  <si>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</si>
  <si>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</si>
  <si>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</si>
  <si>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</si>
  <si>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</si>
  <si>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</si>
  <si>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</si>
  <si>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</si>
  <si>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</si>
  <si>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</si>
  <si>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</si>
  <si>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</si>
  <si>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</si>
  <si>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</si>
  <si>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</si>
  <si>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</si>
  <si>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</si>
  <si>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</si>
  <si>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</si>
  <si>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</si>
  <si>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</si>
  <si>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</si>
  <si>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</si>
  <si>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</si>
  <si>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</si>
  <si>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</si>
  <si>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</si>
  <si>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</si>
  <si>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</si>
  <si>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</si>
  <si>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</si>
  <si>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</si>
  <si>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</si>
  <si>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</si>
  <si>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</si>
  <si>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</si>
  <si>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</si>
  <si>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</si>
  <si>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</si>
  <si>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</si>
  <si>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</si>
  <si>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</si>
  <si>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r>
      <rPr>
        <b/>
        <sz val="11"/>
        <color rgb="FFE36C09"/>
        <rFont val="Century Gothic"/>
        <family val="2"/>
      </rPr>
      <t xml:space="preserve">*Nota: </t>
    </r>
    <r>
      <rPr>
        <sz val="11"/>
        <color theme="1"/>
        <rFont val="Century Gothic"/>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</si>
  <si>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FECHA</t>
  </si>
  <si>
    <t>VERSIÓN</t>
  </si>
  <si>
    <t>CÓDIGO</t>
  </si>
  <si>
    <t>PÁGINA</t>
  </si>
  <si>
    <t>MAPA DE RIESGOS DE GESTIÓN</t>
  </si>
  <si>
    <t>PE-F-055</t>
  </si>
  <si>
    <t>de</t>
  </si>
  <si>
    <t>PROCESO PLANEACIÓN ESTRATÉGICA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</si>
  <si>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</si>
  <si>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</si>
  <si>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</si>
  <si>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</si>
  <si>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</si>
  <si>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</si>
  <si>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</si>
  <si>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</si>
  <si>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</si>
  <si>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</si>
  <si>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</si>
  <si>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</si>
  <si>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</si>
  <si>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</si>
  <si>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</si>
  <si>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Zona de Riesgo Control</t>
  </si>
  <si>
    <t>02</t>
  </si>
  <si>
    <t>Contratación</t>
  </si>
  <si>
    <t>Gestionar los procesos de Contratación Pública de manera oportuna atreves de lineamientos de Colombia compra eficiente  para satisfacer las necesidades de grupo de valor</t>
  </si>
  <si>
    <t xml:space="preserve">Inicia con la planeación del plan anual de adquisiciones y termina con la entrega del acta de liquidación para el archivo en el expediente contractual.
Aplica para: licitaciones públicas, concurso de mérito, selección abreviada, mínima cuantía y contratación directa. </t>
  </si>
  <si>
    <t xml:space="preserve"> Investigaciones multa y sanción del ente regulador al finalizar el proceso contractual</t>
  </si>
  <si>
    <t>Recepción y revisión de los estudios previos sin cumplimiento de los requisitos legales.</t>
  </si>
  <si>
    <t>Posibilidad de afectación económica y reputacional  por  investigaciones, multa y sanción del ente regulador al finalizar el proceso contractual debido a la recepción de los estudios previos sin cumplimiento de los requisitos legales.</t>
  </si>
  <si>
    <t>investigaciones,  multas sanciones disciplinarias y demandas</t>
  </si>
  <si>
    <t>Bienes y servicios contratados. Incumplimiento en la legalización de los contratos</t>
  </si>
  <si>
    <t>Errónea adjudicación</t>
  </si>
  <si>
    <t xml:space="preserve">Fallas durante el proceso precontractual. </t>
  </si>
  <si>
    <t xml:space="preserve">Riesgos fondo pensiones Posibilidad de afectación económica y reputacional por errónea adjudicación debido a fallas durante el proceso precontractual. </t>
  </si>
  <si>
    <t>Investigaciones, sanciones disciplinarias y demandas.</t>
  </si>
  <si>
    <t xml:space="preserve">Inadecuado manejo de archivos de contratos sin la totalidad de los documentos requeridos  asociados a las etapas contractuales. </t>
  </si>
  <si>
    <t>Posibilidad de afectación reputacional  por investigaciones disciplinarias del ente regulador debido al inadecuado manejo de archivos de contratos sin la totalidad de los documentos requeridos  asociados a las etapas contractuales. (Falta de alimentacion de los documentos para los contratos)</t>
  </si>
  <si>
    <t xml:space="preserve"> Pérdida de la información por el acceso no autorizado al sistema de información, la revelación de contraseñas a información disponible para personas no autorizadas y la falta de desactivación de cuentas de usuarios luego de finalizado el empleo.</t>
  </si>
  <si>
    <t>Posibilidad de afectación económica y reputacional  por  investigaciones multa y sanción del ente regulador debido a la pérdida de la información por el acceso no autorizado al sistema de información, la revelación de contraseñas a información disponible para personas no autorizadas y la falta de desactivación de cuentas de usuarios luego de finalizado el empleo.</t>
  </si>
  <si>
    <t xml:space="preserve"> </t>
  </si>
  <si>
    <t>El profesional de contratación del DACP cuando recibe los docuemntos mensualmente verifica que la información jurídica suministrada por las dependencias  que corresponda con los requisitos establecidos acorde con el tipo de contratación, a través de un formato de chequeo, el profesional notifica a traves de un medio idoneo, sea por correo electrocnico idoneo, plataforma contratación o notas internas  las observaciones encontradas (desviacion)</t>
  </si>
  <si>
    <t>El director(a) del DACP verifica la informacion suministrda y revisada por el profesional de apoyo DACP correspondiente al mes en curso, y  aprueba los documentos de la etapa precontractual y firma del contrato para el caso de la contratación directa y aprobacion de los documentos pre contractuales y hasta antes de la etapa de evaluación para procesos de convocatoria publica. El profesional de contratación del DACP publica en la plataforma SECOP 2 lo pertinente de acuerdo a la modalidad de selección. mediante las minutas contractuales</t>
  </si>
  <si>
    <t>El director(a) del DACP Para procesos de convocaría publica,  convoca al grupo evaluador o comité Asesor evaluador cuando sea necesario mediante citación previa según correponda la modalidad, para la socializacion y la revisión de los requisitos jurídicos, técnicos, financieros y de esperiencia. por medio de actas de comite</t>
  </si>
  <si>
    <t>En caso de requerirse, previa revision y viabiidad, el profesional de contratación del DACP proyecta la adenda para procesos de convocatoria publica en su etapa precontractual y para los contratos en la modalidad directa revisa las modificación solicitadas por las dependencias, las cuales se firman por director(a) y son   Publicadas en la platafora SECOP 2, por medio de listas de chequeo, contratos firmados y requicitos juridicos</t>
  </si>
  <si>
    <t xml:space="preserve">El director(a) del DACP con el apoyo del profesional encargado socializan el Manual de Contratación dos veces al año, a todas las dependencias y se publica el manual en la intranet de la alcaldia para cumplimiento posterior a la publicación. por medio del Manual de contratacion, listados de asistencias y evidencias de capacitacion </t>
  </si>
  <si>
    <t>Los profesionales de apoyo del DACP mensualmente verifican la información de la contratación registrada en plataforma contratacion versus la documentación efectivamente radicada a través de un formato de chequeo para legalización. Por medio de listas de chequeo, y el instrumento de legalizacion</t>
  </si>
  <si>
    <t>El director(a) del DACP  con el apoyo del profesional cuatrimestralmente encargado emiten circulares, comunicados u oficios enviados por los mecanismos idoneos para requerir el cumplimiento de la radicación para la legalización dentro del términos establecidos. circular u oficio, soporte de correo enviado</t>
  </si>
  <si>
    <t>El director(a) del DACP con el apoyo del profesional encargado elaboran cronograma cuatrimestralmente para la radicacion de expedientes al DACP, enviados por los mecanismos idoneos para requerir el cumplimiento de la radicación para la legalización dentro del términos establecidos. oficio, soporte del envio por correo, instrumento de legalizacion</t>
  </si>
  <si>
    <t>El profesional de apoyo del DACP verifica que  la información  enviada mensualmente por los profesionales de apoyo encargados del cargue de la información previa,  se encuentre acorde y completa para reporte a la plataforma SIA OBSERVA y que la misma se rinda efectivamente. mediante listados de chequeo, instrumento de rendicion sia, seguimineto e informe rendicion SIA</t>
  </si>
  <si>
    <t>El director(a) del DACP con el apoyo del profesional encargado, realizaran cronograma de entrega de expedientes para el cargue mensual de la informacion en la plataforma del SIA OBSERVA y que la misma se rinda efectivamente. Lista de chequeo, instrumento de legalizacion seguimineto e informe rendicion SIA</t>
  </si>
  <si>
    <t>Los profesionales del DACP revisan mensualmente la viabilidad de la iniciacion del contrato  dentro del mes que se reporta o en el mes siguiente. Mediante lista de quequeo y instrumento de legalizacion</t>
  </si>
  <si>
    <t>El director(a) del DACP con el apoyo del profesional encargado, (en caso materializarse un reporte inoportuno) informara a la oficina del despcho del alcalde sobre la situacion y posterior solicitud de la apertura de la plataforma para su respectivo reporte. mediante oficio de solicitus, soporte de rendicion</t>
  </si>
  <si>
    <t xml:space="preserve">El comité asesor evaluador cuando sea necesario aprueba respuestas a observaciones, informes de evaluación, aclaraciones y requerimientos de los diferentes proponentes para ser publicados en la plataforma SECOP 2. mediente acta de comité, instrumento de cargue de la plataforma SECOP 2
</t>
  </si>
  <si>
    <t>El director(a) del DACP cuando sea necesario invita a veedurías ciudadanas a que participen en los diferentes procesos contractuales. Mediante contratos firmados de diferentes procesos contractuales</t>
  </si>
  <si>
    <t xml:space="preserve">El profesiónal encargado del DACP cuando sea necesario recepcióna las observaciones de los proponentes remitidas a traves de la plataforma SECOP 2 y remite por competencia al comité asesor evaluador para su revisión y respuesta, que sera publicada en la plataforma, mediante actas de comite y el instrumento de publicacion en plataforma </t>
  </si>
  <si>
    <t xml:space="preserve">El profesional de contratación del DACP proyecta adenda en caso de requerirse en procesos de convocatoria en la etapa precontractual, y remite por competencia al comité asesor evaluador para su revisión, respuesta, y aprobacion para la publicación en SECOP II de adendas u oficios de respuesta según normatividad vigente. mediante adendas, notas internas, actas de comite, soporte de publicación en SECOP II </t>
  </si>
  <si>
    <t>El director(a) del DACP en caso de requerirse mediante acto administrativo motivado revoca , mediante dec_0072_21_ene_2020 acto de adjudicación, previo analisis de la procedencia, para posterior publicación en la plataforma SECOP 2 mediante dec_0072_21_ene_2020, notas internas, requisitos jurídicos técnicos financieros y de esperiencia</t>
  </si>
  <si>
    <t>El director(a) del DACP emite trimestralmente circulares y/o comunicados, reiterativas para el envió de la documentación en los tiempos establecidos. Mediante circular, soporte envio por correo</t>
  </si>
  <si>
    <t>El profesional de archivo del DACP envía cuatrimestralmente oficios a las dependencias requiriendo la información para completar el expediente contractual  (con el fin de dar cumplimiento al diligenciamiento del fuit), mediante oficio y/o circular, soporte de envio, lista de quequeo de expediente</t>
  </si>
  <si>
    <t xml:space="preserve">El director(a) del DACP con el apoyo del profesional encargado en caso de requerirse se realizara se solicita la información faltante cuando lo requiera por medio de oficios con copia a control interno.mediante listado de chequeo y soporte de envio </t>
  </si>
  <si>
    <t>El director(a) del DACP en conjunto con el profesional de apoyo cutrimestralmente hace seguimiento  y des habilitación de usuarios y contraseñas de las plataformas asignadas a los profesionales de apoyo que han terminado la vinculacion contractual o a personas que no hacen parte del DACP  para evitar el accesos a las plataformas. mediante solicitud de activacion o des habilitacion de usurios en plataaformas</t>
  </si>
  <si>
    <t xml:space="preserve">El director(a) del DACP delega a un responble de asignación de contraseñas por plataforma.(secop ii, sia observa, sigep, spi, otros), al ingreso  de los profesionales de apoyo, las contraseñas son entregadas entregadas mediante oficio o el mecanismo idoneo para ello, mediante formato de entrega de usurio y contraseña, contrato firmado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</si>
</sst>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7"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1"/>
      <color rgb="FFE36C09"/>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
      <sz val="11"/>
      <color theme="1"/>
      <name val="Arial Narrow"/>
    </font>
    <font>
      <b/>
      <sz val="11"/>
      <color theme="1"/>
      <name val="Arial Narrow"/>
    </font>
    <font>
      <sz val="10"/>
      <color theme="1"/>
      <name val="Century Gothic"/>
      <family val="2"/>
    </font>
    <font>
      <sz val="14"/>
      <color theme="1"/>
      <name val="Calibri"/>
      <family val="2"/>
      <scheme val="minor"/>
    </font>
    <font>
      <sz val="11"/>
      <name val="Calibri"/>
      <family val="2"/>
      <scheme val="minor"/>
    </font>
  </fonts>
  <fills count="18">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
      <patternFill patternType="solid">
        <fgColor theme="0"/>
        <bgColor indexed="64"/>
      </patternFill>
    </fill>
  </fills>
  <borders count="128">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rgb="FFE36C09"/>
      </left>
      <right style="dotted">
        <color rgb="FFE36C09"/>
      </right>
      <top style="dotted">
        <color rgb="FFE36C09"/>
      </top>
      <bottom style="dotted">
        <color rgb="FFE36C09"/>
      </bottom>
      <diagonal/>
    </border>
    <border>
      <left style="thin">
        <color indexed="64"/>
      </left>
      <right style="thin">
        <color indexed="64"/>
      </right>
      <top/>
      <bottom style="dotted">
        <color rgb="FFE36C09"/>
      </bottom>
      <diagonal/>
    </border>
    <border>
      <left style="dashed">
        <color theme="9" tint="-0.24994659260841701"/>
      </left>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s>
  <cellStyleXfs count="1">
    <xf numFmtId="0" fontId="0" fillId="0" borderId="0"/>
  </cellStyleXfs>
  <cellXfs count="332">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0" fillId="7" borderId="75" xfId="0" applyFont="1" applyFill="1" applyBorder="1" applyAlignment="1">
      <alignment horizontal="center" vertical="center" wrapText="1" readingOrder="1"/>
    </xf>
    <xf numFmtId="0" fontId="20" fillId="7" borderId="76" xfId="0" applyFont="1" applyFill="1" applyBorder="1" applyAlignment="1">
      <alignment horizontal="center" vertical="center" wrapText="1" readingOrder="1"/>
    </xf>
    <xf numFmtId="0" fontId="20" fillId="7" borderId="77" xfId="0" applyFont="1" applyFill="1" applyBorder="1" applyAlignment="1">
      <alignment horizontal="center" vertical="center" wrapText="1" readingOrder="1"/>
    </xf>
    <xf numFmtId="0" fontId="20" fillId="8" borderId="75" xfId="0" applyFont="1" applyFill="1" applyBorder="1" applyAlignment="1">
      <alignment horizontal="center" wrapText="1" readingOrder="1"/>
    </xf>
    <xf numFmtId="0" fontId="20" fillId="8" borderId="76" xfId="0" applyFont="1" applyFill="1" applyBorder="1" applyAlignment="1">
      <alignment horizontal="center" wrapText="1" readingOrder="1"/>
    </xf>
    <xf numFmtId="0" fontId="20" fillId="8" borderId="77" xfId="0" applyFont="1" applyFill="1" applyBorder="1" applyAlignment="1">
      <alignment horizontal="center" wrapText="1" readingOrder="1"/>
    </xf>
    <xf numFmtId="0" fontId="20" fillId="7" borderId="19" xfId="0" applyFont="1" applyFill="1" applyBorder="1" applyAlignment="1">
      <alignment horizontal="center" vertical="center" wrapText="1" readingOrder="1"/>
    </xf>
    <xf numFmtId="0" fontId="20" fillId="7" borderId="1" xfId="0" applyFont="1" applyFill="1" applyBorder="1" applyAlignment="1">
      <alignment horizontal="center" vertical="center" wrapText="1" readingOrder="1"/>
    </xf>
    <xf numFmtId="0" fontId="20" fillId="7" borderId="20" xfId="0" applyFont="1" applyFill="1" applyBorder="1" applyAlignment="1">
      <alignment horizontal="center" vertical="center" wrapText="1" readingOrder="1"/>
    </xf>
    <xf numFmtId="0" fontId="20" fillId="8" borderId="19" xfId="0" applyFont="1" applyFill="1" applyBorder="1" applyAlignment="1">
      <alignment horizontal="center" wrapText="1" readingOrder="1"/>
    </xf>
    <xf numFmtId="0" fontId="20" fillId="8" borderId="1" xfId="0" applyFont="1" applyFill="1" applyBorder="1" applyAlignment="1">
      <alignment horizontal="center" wrapText="1" readingOrder="1"/>
    </xf>
    <xf numFmtId="0" fontId="20" fillId="8" borderId="20" xfId="0" applyFont="1" applyFill="1" applyBorder="1" applyAlignment="1">
      <alignment horizontal="center" wrapText="1" readingOrder="1"/>
    </xf>
    <xf numFmtId="0" fontId="20" fillId="7" borderId="40" xfId="0" applyFont="1" applyFill="1" applyBorder="1" applyAlignment="1">
      <alignment horizontal="center" vertical="center" wrapText="1" readingOrder="1"/>
    </xf>
    <xf numFmtId="0" fontId="20" fillId="7" borderId="41" xfId="0" applyFont="1" applyFill="1" applyBorder="1" applyAlignment="1">
      <alignment horizontal="center" vertical="center" wrapText="1" readingOrder="1"/>
    </xf>
    <xf numFmtId="0" fontId="20" fillId="7" borderId="42" xfId="0" applyFont="1" applyFill="1" applyBorder="1" applyAlignment="1">
      <alignment horizontal="center" vertical="center" wrapText="1" readingOrder="1"/>
    </xf>
    <xf numFmtId="0" fontId="20" fillId="8" borderId="40" xfId="0" applyFont="1" applyFill="1" applyBorder="1" applyAlignment="1">
      <alignment horizontal="center" wrapText="1" readingOrder="1"/>
    </xf>
    <xf numFmtId="0" fontId="20" fillId="8" borderId="41" xfId="0" applyFont="1" applyFill="1" applyBorder="1" applyAlignment="1">
      <alignment horizontal="center" wrapText="1" readingOrder="1"/>
    </xf>
    <xf numFmtId="0" fontId="20" fillId="8" borderId="42" xfId="0" applyFont="1" applyFill="1" applyBorder="1" applyAlignment="1">
      <alignment horizontal="center" wrapText="1" readingOrder="1"/>
    </xf>
    <xf numFmtId="0" fontId="20" fillId="9" borderId="75" xfId="0" applyFont="1" applyFill="1" applyBorder="1" applyAlignment="1">
      <alignment horizontal="center" wrapText="1" readingOrder="1"/>
    </xf>
    <xf numFmtId="0" fontId="20" fillId="9" borderId="76" xfId="0" applyFont="1" applyFill="1" applyBorder="1" applyAlignment="1">
      <alignment horizontal="center" wrapText="1" readingOrder="1"/>
    </xf>
    <xf numFmtId="0" fontId="20" fillId="9" borderId="77" xfId="0" applyFont="1" applyFill="1" applyBorder="1" applyAlignment="1">
      <alignment horizontal="center" wrapText="1" readingOrder="1"/>
    </xf>
    <xf numFmtId="0" fontId="20" fillId="9" borderId="19" xfId="0" applyFont="1" applyFill="1" applyBorder="1" applyAlignment="1">
      <alignment horizontal="center" wrapText="1" readingOrder="1"/>
    </xf>
    <xf numFmtId="0" fontId="20" fillId="9" borderId="1" xfId="0" applyFont="1" applyFill="1" applyBorder="1" applyAlignment="1">
      <alignment horizontal="center" wrapText="1" readingOrder="1"/>
    </xf>
    <xf numFmtId="0" fontId="20" fillId="9" borderId="20" xfId="0" applyFont="1" applyFill="1" applyBorder="1" applyAlignment="1">
      <alignment horizontal="center" wrapText="1" readingOrder="1"/>
    </xf>
    <xf numFmtId="0" fontId="20" fillId="9" borderId="40" xfId="0" applyFont="1" applyFill="1" applyBorder="1" applyAlignment="1">
      <alignment horizontal="center" wrapText="1" readingOrder="1"/>
    </xf>
    <xf numFmtId="0" fontId="20" fillId="9" borderId="41" xfId="0" applyFont="1" applyFill="1" applyBorder="1" applyAlignment="1">
      <alignment horizontal="center" wrapText="1" readingOrder="1"/>
    </xf>
    <xf numFmtId="0" fontId="20" fillId="9" borderId="42" xfId="0" applyFont="1" applyFill="1" applyBorder="1" applyAlignment="1">
      <alignment horizontal="center" wrapText="1" readingOrder="1"/>
    </xf>
    <xf numFmtId="0" fontId="20" fillId="10" borderId="75" xfId="0" applyFont="1" applyFill="1" applyBorder="1" applyAlignment="1">
      <alignment horizontal="center" wrapText="1" readingOrder="1"/>
    </xf>
    <xf numFmtId="0" fontId="20" fillId="10" borderId="76"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20" fillId="10" borderId="19" xfId="0" applyFont="1" applyFill="1" applyBorder="1" applyAlignment="1">
      <alignment horizontal="center" wrapText="1" readingOrder="1"/>
    </xf>
    <xf numFmtId="0" fontId="20" fillId="10" borderId="1" xfId="0" applyFont="1" applyFill="1" applyBorder="1" applyAlignment="1">
      <alignment horizontal="center" wrapText="1" readingOrder="1"/>
    </xf>
    <xf numFmtId="0" fontId="20" fillId="10" borderId="20" xfId="0" applyFont="1" applyFill="1" applyBorder="1" applyAlignment="1">
      <alignment horizontal="center" wrapText="1" readingOrder="1"/>
    </xf>
    <xf numFmtId="0" fontId="20" fillId="10" borderId="40" xfId="0" applyFont="1" applyFill="1" applyBorder="1" applyAlignment="1">
      <alignment horizontal="center" wrapText="1" readingOrder="1"/>
    </xf>
    <xf numFmtId="0" fontId="20" fillId="10" borderId="41" xfId="0" applyFont="1" applyFill="1" applyBorder="1" applyAlignment="1">
      <alignment horizontal="center" wrapText="1" readingOrder="1"/>
    </xf>
    <xf numFmtId="0" fontId="20" fillId="10" borderId="42" xfId="0" applyFont="1" applyFill="1" applyBorder="1" applyAlignment="1">
      <alignment horizontal="center" wrapText="1" readingOrder="1"/>
    </xf>
    <xf numFmtId="0" fontId="22" fillId="9" borderId="76" xfId="0" applyFont="1" applyFill="1" applyBorder="1" applyAlignment="1">
      <alignment horizontal="center" wrapText="1" readingOrder="1"/>
    </xf>
    <xf numFmtId="0" fontId="23" fillId="0" borderId="0" xfId="0" applyFont="1" applyAlignment="1">
      <alignment horizontal="center" vertical="center" wrapText="1"/>
    </xf>
    <xf numFmtId="0" fontId="24" fillId="11" borderId="1" xfId="0" applyFont="1" applyFill="1" applyBorder="1" applyAlignment="1">
      <alignment horizontal="center" vertical="center" wrapText="1" readingOrder="1"/>
    </xf>
    <xf numFmtId="0" fontId="25" fillId="10" borderId="78" xfId="0" applyFont="1" applyFill="1" applyBorder="1" applyAlignment="1">
      <alignment horizontal="center" vertical="center" wrapText="1" readingOrder="1"/>
    </xf>
    <xf numFmtId="0" fontId="25" fillId="0" borderId="79" xfId="0" applyFont="1" applyBorder="1" applyAlignment="1">
      <alignment horizontal="left" vertical="center" wrapText="1" readingOrder="1"/>
    </xf>
    <xf numFmtId="9" fontId="25" fillId="0" borderId="79" xfId="0" applyNumberFormat="1" applyFont="1" applyBorder="1" applyAlignment="1">
      <alignment horizontal="center" vertical="center" wrapText="1" readingOrder="1"/>
    </xf>
    <xf numFmtId="0" fontId="25" fillId="12" borderId="80" xfId="0" applyFont="1" applyFill="1" applyBorder="1" applyAlignment="1">
      <alignment horizontal="center" vertical="center" wrapText="1" readingOrder="1"/>
    </xf>
    <xf numFmtId="0" fontId="25" fillId="0" borderId="80" xfId="0" applyFont="1" applyBorder="1" applyAlignment="1">
      <alignment horizontal="left" vertical="center" wrapText="1" readingOrder="1"/>
    </xf>
    <xf numFmtId="9" fontId="25" fillId="0" borderId="80" xfId="0" applyNumberFormat="1" applyFont="1" applyBorder="1" applyAlignment="1">
      <alignment horizontal="center" vertical="center" wrapText="1" readingOrder="1"/>
    </xf>
    <xf numFmtId="0" fontId="25" fillId="13" borderId="80"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6" fillId="5" borderId="80"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78" xfId="0" applyFont="1" applyFill="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9" xfId="0" applyFont="1" applyBorder="1" applyAlignment="1">
      <alignment horizontal="left" vertical="center" wrapText="1" readingOrder="1"/>
    </xf>
    <xf numFmtId="0" fontId="31" fillId="12" borderId="80" xfId="0" applyFont="1" applyFill="1" applyBorder="1" applyAlignment="1">
      <alignment horizontal="center" vertical="center" wrapText="1" readingOrder="1"/>
    </xf>
    <xf numFmtId="0" fontId="31" fillId="0" borderId="80" xfId="0" applyFont="1" applyBorder="1" applyAlignment="1">
      <alignment horizontal="center" vertical="center" wrapText="1" readingOrder="1"/>
    </xf>
    <xf numFmtId="0" fontId="31" fillId="0" borderId="80" xfId="0" applyFont="1" applyBorder="1" applyAlignment="1">
      <alignment horizontal="left" vertical="center" wrapText="1" readingOrder="1"/>
    </xf>
    <xf numFmtId="0" fontId="31" fillId="13" borderId="80" xfId="0" applyFont="1" applyFill="1" applyBorder="1" applyAlignment="1">
      <alignment horizontal="center" vertical="center" wrapText="1" readingOrder="1"/>
    </xf>
    <xf numFmtId="0" fontId="31" fillId="14" borderId="80" xfId="0" applyFont="1" applyFill="1" applyBorder="1" applyAlignment="1">
      <alignment horizontal="center" vertical="center" wrapText="1" readingOrder="1"/>
    </xf>
    <xf numFmtId="0" fontId="32" fillId="5" borderId="80"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1" fillId="2" borderId="1" xfId="0" applyFont="1" applyFill="1" applyBorder="1"/>
    <xf numFmtId="0" fontId="42" fillId="15" borderId="85" xfId="0" applyFont="1" applyFill="1" applyBorder="1" applyAlignment="1">
      <alignment horizontal="center" vertical="center" wrapText="1" readingOrder="1"/>
    </xf>
    <xf numFmtId="0" fontId="42" fillId="15" borderId="86" xfId="0" applyFont="1" applyFill="1" applyBorder="1" applyAlignment="1">
      <alignment horizontal="center" vertical="center" wrapText="1" readingOrder="1"/>
    </xf>
    <xf numFmtId="0" fontId="42" fillId="2" borderId="89" xfId="0" applyFont="1" applyFill="1" applyBorder="1" applyAlignment="1">
      <alignment horizontal="center" vertical="center" wrapText="1" readingOrder="1"/>
    </xf>
    <xf numFmtId="0" fontId="43" fillId="2" borderId="89" xfId="0" applyFont="1" applyFill="1" applyBorder="1" applyAlignment="1">
      <alignment horizontal="left" vertical="center" wrapText="1" readingOrder="1"/>
    </xf>
    <xf numFmtId="9" fontId="42" fillId="2" borderId="90" xfId="0" applyNumberFormat="1" applyFont="1" applyFill="1" applyBorder="1" applyAlignment="1">
      <alignment horizontal="center" vertical="center" wrapText="1" readingOrder="1"/>
    </xf>
    <xf numFmtId="0" fontId="42" fillId="2" borderId="93" xfId="0" applyFont="1" applyFill="1" applyBorder="1" applyAlignment="1">
      <alignment horizontal="center" vertical="center" wrapText="1" readingOrder="1"/>
    </xf>
    <xf numFmtId="0" fontId="43" fillId="2" borderId="93" xfId="0" applyFont="1" applyFill="1" applyBorder="1" applyAlignment="1">
      <alignment horizontal="left" vertical="center" wrapText="1" readingOrder="1"/>
    </xf>
    <xf numFmtId="9" fontId="42" fillId="2" borderId="94" xfId="0" applyNumberFormat="1" applyFont="1" applyFill="1" applyBorder="1" applyAlignment="1">
      <alignment horizontal="center" vertical="center" wrapText="1" readingOrder="1"/>
    </xf>
    <xf numFmtId="0" fontId="43" fillId="2" borderId="94" xfId="0" applyFont="1" applyFill="1" applyBorder="1" applyAlignment="1">
      <alignment horizontal="center" vertical="center" wrapText="1" readingOrder="1"/>
    </xf>
    <xf numFmtId="0" fontId="42" fillId="2" borderId="101" xfId="0" applyFont="1" applyFill="1" applyBorder="1" applyAlignment="1">
      <alignment horizontal="center" vertical="center" wrapText="1" readingOrder="1"/>
    </xf>
    <xf numFmtId="0" fontId="43" fillId="2" borderId="101" xfId="0" applyFont="1" applyFill="1" applyBorder="1" applyAlignment="1">
      <alignment horizontal="left" vertical="center" wrapText="1" readingOrder="1"/>
    </xf>
    <xf numFmtId="0" fontId="43" fillId="2" borderId="102" xfId="0" applyFont="1" applyFill="1" applyBorder="1" applyAlignment="1">
      <alignment horizontal="center" vertical="center" wrapText="1" readingOrder="1"/>
    </xf>
    <xf numFmtId="0" fontId="39" fillId="0" borderId="0" xfId="0" applyFont="1"/>
    <xf numFmtId="0" fontId="45" fillId="0" borderId="80" xfId="0" applyFont="1" applyBorder="1" applyAlignment="1">
      <alignment horizontal="left" vertical="center" wrapText="1" readingOrder="1"/>
    </xf>
    <xf numFmtId="0" fontId="31" fillId="16" borderId="80" xfId="0" applyFont="1" applyFill="1" applyBorder="1" applyAlignment="1">
      <alignment horizontal="center" vertical="center" wrapText="1" readingOrder="1"/>
    </xf>
    <xf numFmtId="0" fontId="31" fillId="16" borderId="80" xfId="0" applyFont="1" applyFill="1" applyBorder="1" applyAlignment="1">
      <alignment horizontal="left" vertical="center" wrapText="1" readingOrder="1"/>
    </xf>
    <xf numFmtId="0" fontId="59" fillId="0" borderId="0" xfId="0" applyFont="1"/>
    <xf numFmtId="0" fontId="54" fillId="0" borderId="0" xfId="0" applyFont="1" applyAlignment="1">
      <alignment horizontal="left" vertical="center" indent="5"/>
    </xf>
    <xf numFmtId="0" fontId="51" fillId="0" borderId="0" xfId="0" applyFont="1" applyAlignment="1">
      <alignment vertical="center"/>
    </xf>
    <xf numFmtId="0" fontId="51" fillId="0" borderId="0" xfId="0" applyFont="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52" xfId="0" applyFont="1" applyFill="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textRotation="90"/>
      <protection locked="0"/>
    </xf>
    <xf numFmtId="14" fontId="51" fillId="0" borderId="103" xfId="0" applyNumberFormat="1" applyFont="1" applyBorder="1" applyAlignment="1" applyProtection="1">
      <alignment horizontal="center" vertical="center"/>
      <protection locked="0"/>
    </xf>
    <xf numFmtId="0" fontId="51" fillId="0" borderId="103" xfId="0" applyFont="1" applyBorder="1" applyAlignment="1">
      <alignment horizontal="center" vertical="center"/>
    </xf>
    <xf numFmtId="9" fontId="51" fillId="0" borderId="103" xfId="0" applyNumberFormat="1" applyFont="1" applyBorder="1" applyAlignment="1">
      <alignment horizontal="center" vertical="center"/>
    </xf>
    <xf numFmtId="164" fontId="51" fillId="0" borderId="103" xfId="0" applyNumberFormat="1" applyFont="1" applyBorder="1" applyAlignment="1">
      <alignment horizontal="center" vertical="center"/>
    </xf>
    <xf numFmtId="0" fontId="50" fillId="0" borderId="103" xfId="0" applyFont="1" applyBorder="1" applyAlignment="1">
      <alignment horizontal="center" vertical="center" textRotation="90" wrapText="1"/>
    </xf>
    <xf numFmtId="0" fontId="50" fillId="0" borderId="103" xfId="0" applyFont="1" applyBorder="1" applyAlignment="1">
      <alignment horizontal="center" vertical="center" textRotation="90"/>
    </xf>
    <xf numFmtId="0" fontId="62" fillId="2" borderId="52" xfId="0" applyFont="1" applyFill="1" applyBorder="1"/>
    <xf numFmtId="0" fontId="62" fillId="0" borderId="0" xfId="0" applyFont="1"/>
    <xf numFmtId="0" fontId="51" fillId="0" borderId="0" xfId="0" applyFont="1" applyAlignment="1">
      <alignment horizontal="center" vertical="center"/>
    </xf>
    <xf numFmtId="0" fontId="50" fillId="4" borderId="103" xfId="0" applyFont="1" applyFill="1" applyBorder="1" applyAlignment="1">
      <alignment horizontal="center" vertical="center" textRotation="90"/>
    </xf>
    <xf numFmtId="0" fontId="50" fillId="0" borderId="0" xfId="0" applyFont="1" applyAlignment="1" applyProtection="1">
      <alignment horizontal="left" vertical="center"/>
      <protection locked="0"/>
    </xf>
    <xf numFmtId="0" fontId="64" fillId="0" borderId="123" xfId="0" applyFont="1" applyBorder="1" applyAlignment="1" applyProtection="1">
      <alignment horizontal="left" vertical="center" wrapText="1"/>
      <protection locked="0"/>
    </xf>
    <xf numFmtId="0" fontId="51" fillId="0" borderId="123" xfId="0" applyFont="1" applyBorder="1" applyAlignment="1" applyProtection="1">
      <alignment horizontal="center" vertical="center" textRotation="90"/>
      <protection locked="0"/>
    </xf>
    <xf numFmtId="0" fontId="64" fillId="0" borderId="123" xfId="0" applyFont="1" applyBorder="1" applyAlignment="1" applyProtection="1">
      <alignment vertical="center" wrapText="1"/>
      <protection locked="0"/>
    </xf>
    <xf numFmtId="0" fontId="66" fillId="0" borderId="103" xfId="0" applyFont="1" applyBorder="1" applyAlignment="1" applyProtection="1">
      <alignment vertical="center" wrapText="1"/>
      <protection locked="0"/>
    </xf>
    <xf numFmtId="0" fontId="66" fillId="0" borderId="103" xfId="0" applyFont="1" applyBorder="1" applyAlignment="1" applyProtection="1">
      <alignment horizontal="left" vertical="center" wrapText="1"/>
      <protection locked="0"/>
    </xf>
    <xf numFmtId="0" fontId="51" fillId="0" borderId="120" xfId="0" applyFont="1" applyBorder="1" applyAlignment="1" applyProtection="1">
      <alignment horizontal="center" vertical="center" textRotation="90"/>
      <protection locked="0"/>
    </xf>
    <xf numFmtId="0" fontId="51" fillId="0" borderId="122" xfId="0" applyFont="1" applyBorder="1" applyAlignment="1" applyProtection="1">
      <alignment horizontal="center" vertical="center" textRotation="90"/>
      <protection locked="0"/>
    </xf>
    <xf numFmtId="0" fontId="51" fillId="0" borderId="121" xfId="0" applyFont="1" applyBorder="1" applyAlignment="1" applyProtection="1">
      <alignment horizontal="center" vertical="center" textRotation="90"/>
      <protection locked="0"/>
    </xf>
    <xf numFmtId="0" fontId="63" fillId="0" borderId="120" xfId="0" applyFont="1" applyBorder="1" applyAlignment="1">
      <alignment horizontal="center" vertical="center" textRotation="90"/>
    </xf>
    <xf numFmtId="0" fontId="63" fillId="0" borderId="122" xfId="0" applyFont="1" applyBorder="1" applyAlignment="1">
      <alignment horizontal="center" vertical="center" textRotation="90"/>
    </xf>
    <xf numFmtId="0" fontId="63" fillId="0" borderId="124" xfId="0" applyFont="1" applyBorder="1" applyAlignment="1">
      <alignment horizontal="center" vertical="center" textRotation="90"/>
    </xf>
    <xf numFmtId="0" fontId="51" fillId="0" borderId="120" xfId="0" applyFont="1" applyBorder="1" applyAlignment="1" applyProtection="1">
      <alignment horizontal="center" vertical="center" wrapText="1"/>
      <protection locked="0"/>
    </xf>
    <xf numFmtId="0" fontId="51" fillId="0" borderId="122" xfId="0" applyFont="1" applyBorder="1" applyAlignment="1" applyProtection="1">
      <alignment horizontal="center" vertical="center" wrapText="1"/>
      <protection locked="0"/>
    </xf>
    <xf numFmtId="0" fontId="51" fillId="0" borderId="121" xfId="0" applyFont="1" applyBorder="1" applyAlignment="1" applyProtection="1">
      <alignment horizontal="center" vertical="center" wrapText="1"/>
      <protection locked="0"/>
    </xf>
    <xf numFmtId="0" fontId="51" fillId="0" borderId="120" xfId="0" applyFont="1" applyBorder="1" applyAlignment="1" applyProtection="1">
      <alignment horizontal="center" vertical="center"/>
      <protection locked="0"/>
    </xf>
    <xf numFmtId="0" fontId="51" fillId="0" borderId="122" xfId="0" applyFont="1" applyBorder="1" applyAlignment="1" applyProtection="1">
      <alignment horizontal="center" vertical="center"/>
      <protection locked="0"/>
    </xf>
    <xf numFmtId="0" fontId="51" fillId="0" borderId="121" xfId="0" applyFont="1" applyBorder="1" applyAlignment="1" applyProtection="1">
      <alignment horizontal="center" vertical="center"/>
      <protection locked="0"/>
    </xf>
    <xf numFmtId="0" fontId="50" fillId="0" borderId="120" xfId="0" applyFont="1" applyBorder="1" applyAlignment="1">
      <alignment horizontal="center" vertical="center" wrapText="1"/>
    </xf>
    <xf numFmtId="0" fontId="50" fillId="0" borderId="122" xfId="0" applyFont="1" applyBorder="1" applyAlignment="1">
      <alignment horizontal="center" vertical="center" wrapText="1"/>
    </xf>
    <xf numFmtId="0" fontId="50" fillId="0" borderId="121" xfId="0" applyFont="1" applyBorder="1" applyAlignment="1">
      <alignment horizontal="center" vertical="center" wrapText="1"/>
    </xf>
    <xf numFmtId="9" fontId="51" fillId="0" borderId="120" xfId="0" applyNumberFormat="1" applyFont="1" applyBorder="1" applyAlignment="1">
      <alignment horizontal="center" vertical="center" wrapText="1"/>
    </xf>
    <xf numFmtId="9" fontId="51" fillId="0" borderId="122" xfId="0" applyNumberFormat="1" applyFont="1" applyBorder="1" applyAlignment="1">
      <alignment horizontal="center" vertical="center" wrapText="1"/>
    </xf>
    <xf numFmtId="9" fontId="51" fillId="0" borderId="121" xfId="0" applyNumberFormat="1" applyFont="1" applyBorder="1" applyAlignment="1">
      <alignment horizontal="center" vertical="center" wrapText="1"/>
    </xf>
    <xf numFmtId="9" fontId="51" fillId="0" borderId="120" xfId="0" applyNumberFormat="1" applyFont="1" applyBorder="1" applyAlignment="1" applyProtection="1">
      <alignment horizontal="center" vertical="center" wrapText="1"/>
      <protection locked="0"/>
    </xf>
    <xf numFmtId="9" fontId="51" fillId="0" borderId="122" xfId="0" applyNumberFormat="1" applyFont="1" applyBorder="1" applyAlignment="1" applyProtection="1">
      <alignment horizontal="center" vertical="center" wrapText="1"/>
      <protection locked="0"/>
    </xf>
    <xf numFmtId="9" fontId="51" fillId="0" borderId="121" xfId="0" applyNumberFormat="1" applyFont="1" applyBorder="1" applyAlignment="1" applyProtection="1">
      <alignment horizontal="center" vertical="center" wrapText="1"/>
      <protection locked="0"/>
    </xf>
    <xf numFmtId="0" fontId="50" fillId="0" borderId="120" xfId="0" applyFont="1" applyBorder="1" applyAlignment="1">
      <alignment horizontal="center" vertical="center"/>
    </xf>
    <xf numFmtId="0" fontId="50" fillId="0" borderId="122" xfId="0" applyFont="1" applyBorder="1" applyAlignment="1">
      <alignment horizontal="center" vertical="center"/>
    </xf>
    <xf numFmtId="0" fontId="50" fillId="0" borderId="121" xfId="0" applyFont="1" applyBorder="1" applyAlignment="1">
      <alignment horizontal="center" vertical="center"/>
    </xf>
    <xf numFmtId="0" fontId="63" fillId="0" borderId="52" xfId="0" applyFont="1" applyBorder="1" applyAlignment="1">
      <alignment horizontal="center" vertical="center" textRotation="90" wrapText="1"/>
    </xf>
    <xf numFmtId="0" fontId="50" fillId="4" borderId="120" xfId="0" applyFont="1" applyFill="1" applyBorder="1" applyAlignment="1">
      <alignment horizontal="center" vertical="center" textRotation="90" wrapText="1"/>
    </xf>
    <xf numFmtId="0" fontId="50" fillId="4" borderId="121" xfId="0" applyFont="1" applyFill="1" applyBorder="1" applyAlignment="1">
      <alignment horizontal="center" vertical="center" textRotation="90" wrapText="1"/>
    </xf>
    <xf numFmtId="0" fontId="50" fillId="4" borderId="103" xfId="0" applyFont="1" applyFill="1" applyBorder="1" applyAlignment="1">
      <alignment horizontal="center" vertical="center"/>
    </xf>
    <xf numFmtId="0" fontId="52" fillId="0" borderId="103" xfId="0" applyFont="1" applyBorder="1" applyAlignment="1">
      <alignment horizontal="center" vertical="center"/>
    </xf>
    <xf numFmtId="0" fontId="50" fillId="4" borderId="103" xfId="0" applyFont="1" applyFill="1" applyBorder="1" applyAlignment="1">
      <alignment horizontal="center" vertical="center" wrapText="1"/>
    </xf>
    <xf numFmtId="0" fontId="50" fillId="4" borderId="103" xfId="0" applyFont="1" applyFill="1" applyBorder="1" applyAlignment="1">
      <alignment horizontal="center" vertical="center" textRotation="90" wrapText="1"/>
    </xf>
    <xf numFmtId="0" fontId="65" fillId="17" borderId="125" xfId="0" applyFont="1" applyFill="1" applyBorder="1" applyAlignment="1" applyProtection="1">
      <alignment horizontal="left" vertical="center" wrapText="1"/>
      <protection locked="0"/>
    </xf>
    <xf numFmtId="0" fontId="65" fillId="17" borderId="126" xfId="0" applyFont="1" applyFill="1" applyBorder="1" applyAlignment="1" applyProtection="1">
      <alignment horizontal="left" vertical="center" wrapText="1"/>
      <protection locked="0"/>
    </xf>
    <xf numFmtId="0" fontId="65" fillId="17" borderId="127" xfId="0" applyFont="1" applyFill="1" applyBorder="1" applyAlignment="1" applyProtection="1">
      <alignment horizontal="left" vertical="center" wrapText="1"/>
      <protection locked="0"/>
    </xf>
    <xf numFmtId="0" fontId="51" fillId="0" borderId="103" xfId="0" applyFont="1" applyBorder="1" applyAlignment="1">
      <alignment horizontal="center" vertical="center" wrapText="1"/>
    </xf>
    <xf numFmtId="0" fontId="50" fillId="4" borderId="103" xfId="0" applyFont="1" applyFill="1" applyBorder="1" applyAlignment="1">
      <alignment horizontal="center" vertical="center" textRotation="90"/>
    </xf>
    <xf numFmtId="0" fontId="50" fillId="4" borderId="103" xfId="0" applyFont="1" applyFill="1" applyBorder="1" applyAlignment="1">
      <alignment horizontal="left" vertical="center"/>
    </xf>
    <xf numFmtId="0" fontId="52" fillId="0" borderId="103" xfId="0" applyFont="1" applyBorder="1" applyAlignment="1">
      <alignment horizontal="left" vertical="center"/>
    </xf>
    <xf numFmtId="0" fontId="65" fillId="17" borderId="125" xfId="0" applyFont="1" applyFill="1" applyBorder="1" applyAlignment="1" applyProtection="1">
      <alignment horizontal="left" vertical="center"/>
      <protection locked="0"/>
    </xf>
    <xf numFmtId="0" fontId="65" fillId="17" borderId="126" xfId="0" applyFont="1" applyFill="1" applyBorder="1" applyAlignment="1" applyProtection="1">
      <alignment horizontal="left" vertical="center"/>
      <protection locked="0"/>
    </xf>
    <xf numFmtId="0" fontId="65" fillId="17" borderId="127" xfId="0" applyFont="1" applyFill="1" applyBorder="1" applyAlignment="1" applyProtection="1">
      <alignment horizontal="left" vertical="center"/>
      <protection locked="0"/>
    </xf>
    <xf numFmtId="0" fontId="51" fillId="2" borderId="43" xfId="0" applyFont="1" applyFill="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52" fillId="0" borderId="44" xfId="0" applyFont="1" applyBorder="1" applyAlignment="1" applyProtection="1">
      <alignment horizontal="center" vertical="center"/>
      <protection locked="0"/>
    </xf>
    <xf numFmtId="0" fontId="51" fillId="0" borderId="107" xfId="0" applyFont="1" applyBorder="1" applyAlignment="1">
      <alignment horizontal="center" vertical="center"/>
    </xf>
    <xf numFmtId="0" fontId="51" fillId="0" borderId="106" xfId="0" applyFont="1" applyBorder="1" applyAlignment="1">
      <alignment horizontal="center" vertical="center"/>
    </xf>
    <xf numFmtId="0" fontId="51" fillId="0" borderId="108" xfId="0" applyFont="1" applyBorder="1" applyAlignment="1">
      <alignment horizontal="center" vertical="center"/>
    </xf>
    <xf numFmtId="0" fontId="51" fillId="0" borderId="112" xfId="0" applyFont="1" applyBorder="1" applyAlignment="1">
      <alignment horizontal="center" vertical="center"/>
    </xf>
    <xf numFmtId="0" fontId="51" fillId="0" borderId="52" xfId="0" applyFont="1" applyBorder="1" applyAlignment="1">
      <alignment horizontal="center" vertical="center"/>
    </xf>
    <xf numFmtId="0" fontId="51" fillId="0" borderId="113" xfId="0" applyFont="1" applyBorder="1" applyAlignment="1">
      <alignment horizontal="center" vertical="center"/>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51" fillId="0" borderId="111" xfId="0" applyFont="1" applyBorder="1" applyAlignment="1">
      <alignment horizontal="center" vertical="center"/>
    </xf>
    <xf numFmtId="0" fontId="57" fillId="0" borderId="104" xfId="0" applyFont="1" applyBorder="1" applyAlignment="1">
      <alignment horizontal="center" vertical="center"/>
    </xf>
    <xf numFmtId="0" fontId="57" fillId="0" borderId="105" xfId="0" applyFont="1" applyBorder="1" applyAlignment="1">
      <alignment horizontal="center" vertical="center"/>
    </xf>
    <xf numFmtId="0" fontId="58" fillId="0" borderId="106" xfId="0" applyFont="1" applyBorder="1" applyAlignment="1">
      <alignment horizontal="left" vertical="center"/>
    </xf>
    <xf numFmtId="0" fontId="58" fillId="0" borderId="108" xfId="0" applyFont="1" applyBorder="1" applyAlignment="1">
      <alignment horizontal="left" vertical="center"/>
    </xf>
    <xf numFmtId="0" fontId="57" fillId="0" borderId="110" xfId="0" applyFont="1" applyBorder="1" applyAlignment="1">
      <alignment horizontal="center" vertical="center"/>
    </xf>
    <xf numFmtId="0" fontId="57" fillId="0" borderId="52" xfId="0" applyFont="1" applyBorder="1" applyAlignment="1">
      <alignment horizontal="center" vertical="center"/>
    </xf>
    <xf numFmtId="0" fontId="57" fillId="0" borderId="111" xfId="0" applyFont="1" applyBorder="1" applyAlignment="1">
      <alignment horizontal="center" vertical="center"/>
    </xf>
    <xf numFmtId="0" fontId="56" fillId="0" borderId="107" xfId="0" applyFont="1" applyBorder="1" applyAlignment="1">
      <alignment horizontal="center" vertical="center"/>
    </xf>
    <xf numFmtId="0" fontId="56" fillId="0" borderId="106" xfId="0" applyFont="1" applyBorder="1" applyAlignment="1">
      <alignment horizontal="center" vertical="center"/>
    </xf>
    <xf numFmtId="15" fontId="60" fillId="0" borderId="109" xfId="0" applyNumberFormat="1" applyFont="1" applyBorder="1" applyAlignment="1">
      <alignment horizontal="center" vertical="center"/>
    </xf>
    <xf numFmtId="0" fontId="60" fillId="0" borderId="110" xfId="0" applyFont="1" applyBorder="1" applyAlignment="1">
      <alignment horizontal="center" vertical="center"/>
    </xf>
    <xf numFmtId="0" fontId="56" fillId="0" borderId="108" xfId="0" applyFont="1" applyBorder="1" applyAlignment="1">
      <alignment horizontal="center" vertical="center"/>
    </xf>
    <xf numFmtId="49" fontId="60" fillId="0" borderId="109" xfId="0" applyNumberFormat="1" applyFont="1" applyBorder="1" applyAlignment="1">
      <alignment horizontal="center" vertical="center"/>
    </xf>
    <xf numFmtId="49" fontId="60" fillId="0" borderId="110" xfId="0" applyNumberFormat="1" applyFont="1" applyBorder="1" applyAlignment="1">
      <alignment horizontal="center" vertical="center"/>
    </xf>
    <xf numFmtId="49" fontId="60" fillId="0" borderId="111" xfId="0" applyNumberFormat="1" applyFont="1" applyBorder="1" applyAlignment="1">
      <alignment horizontal="center" vertical="center"/>
    </xf>
    <xf numFmtId="0" fontId="60" fillId="0" borderId="111" xfId="0" applyFont="1" applyBorder="1" applyAlignment="1">
      <alignment horizontal="center" vertical="center"/>
    </xf>
    <xf numFmtId="0" fontId="60" fillId="0" borderId="109" xfId="0" applyFont="1" applyBorder="1" applyAlignment="1">
      <alignment horizontal="center" vertical="center"/>
    </xf>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6" fillId="9" borderId="45" xfId="0" applyFont="1" applyFill="1" applyBorder="1" applyAlignment="1">
      <alignment horizontal="center" wrapText="1" readingOrder="1"/>
    </xf>
    <xf numFmtId="0" fontId="3" fillId="0" borderId="53" xfId="0" applyFont="1" applyBorder="1"/>
    <xf numFmtId="0" fontId="3" fillId="0" borderId="50" xfId="0" applyFont="1" applyBorder="1"/>
    <xf numFmtId="0" fontId="3" fillId="0" borderId="63" xfId="0" applyFont="1" applyBorder="1"/>
    <xf numFmtId="0" fontId="16" fillId="9" borderId="58" xfId="0" applyFont="1" applyFill="1" applyBorder="1" applyAlignment="1">
      <alignment horizontal="center" wrapText="1" readingOrder="1"/>
    </xf>
    <xf numFmtId="0" fontId="3" fillId="0" borderId="57" xfId="0" applyFont="1" applyBorder="1"/>
    <xf numFmtId="0" fontId="3" fillId="0" borderId="52" xfId="0" applyFont="1" applyBorder="1"/>
    <xf numFmtId="0" fontId="3" fillId="0" borderId="56" xfId="0" applyFont="1" applyBorder="1"/>
    <xf numFmtId="0" fontId="16" fillId="7" borderId="54" xfId="0" applyFont="1" applyFill="1" applyBorder="1" applyAlignment="1">
      <alignment horizontal="center" vertical="center" wrapText="1" readingOrder="1"/>
    </xf>
    <xf numFmtId="0" fontId="3" fillId="0" borderId="62" xfId="0" applyFont="1" applyBorder="1"/>
    <xf numFmtId="0" fontId="16" fillId="7" borderId="58"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3" fillId="0" borderId="47" xfId="0" applyFont="1" applyBorder="1"/>
    <xf numFmtId="0" fontId="16" fillId="9" borderId="66" xfId="0" applyFont="1" applyFill="1" applyBorder="1" applyAlignment="1">
      <alignment horizontal="center" wrapText="1" readingOrder="1"/>
    </xf>
    <xf numFmtId="0" fontId="16" fillId="7" borderId="66" xfId="0" applyFont="1" applyFill="1" applyBorder="1" applyAlignment="1">
      <alignment horizontal="center" vertical="center" wrapText="1" readingOrder="1"/>
    </xf>
    <xf numFmtId="0" fontId="16" fillId="7" borderId="45" xfId="0" applyFont="1" applyFill="1" applyBorder="1" applyAlignment="1">
      <alignment horizontal="center" vertical="center" wrapText="1" readingOrder="1"/>
    </xf>
    <xf numFmtId="0" fontId="16" fillId="8" borderId="66" xfId="0" applyFont="1" applyFill="1" applyBorder="1" applyAlignment="1">
      <alignment horizontal="center" wrapText="1" readingOrder="1"/>
    </xf>
    <xf numFmtId="0" fontId="16" fillId="8" borderId="45" xfId="0" applyFont="1" applyFill="1" applyBorder="1" applyAlignment="1">
      <alignment horizontal="center" wrapText="1" readingOrder="1"/>
    </xf>
    <xf numFmtId="0" fontId="16" fillId="9" borderId="54" xfId="0" applyFont="1" applyFill="1" applyBorder="1" applyAlignment="1">
      <alignment horizont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7" xfId="0" applyFont="1" applyBorder="1"/>
    <xf numFmtId="0" fontId="3" fillId="0" borderId="68" xfId="0" applyFont="1" applyBorder="1"/>
    <xf numFmtId="0" fontId="3" fillId="0" borderId="70" xfId="0" applyFont="1" applyBorder="1"/>
    <xf numFmtId="0" fontId="3" fillId="0" borderId="71" xfId="0" applyFont="1" applyBorder="1"/>
    <xf numFmtId="0" fontId="3" fillId="0" borderId="69" xfId="0" applyFont="1" applyBorder="1"/>
    <xf numFmtId="0" fontId="16" fillId="8"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16" fillId="10" borderId="58" xfId="0" applyFont="1" applyFill="1" applyBorder="1" applyAlignment="1">
      <alignment horizontal="center" wrapText="1" readingOrder="1"/>
    </xf>
    <xf numFmtId="0" fontId="16" fillId="10" borderId="54" xfId="0" applyFont="1" applyFill="1" applyBorder="1" applyAlignment="1">
      <alignment horizontal="center" wrapText="1" readingOrder="1"/>
    </xf>
    <xf numFmtId="0" fontId="17" fillId="8"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10" borderId="59" xfId="0" applyFont="1" applyFill="1" applyBorder="1" applyAlignment="1">
      <alignment horizontal="center" vertical="center" wrapText="1" readingOrder="1"/>
    </xf>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8" fillId="0" borderId="0" xfId="0" applyFont="1" applyAlignment="1">
      <alignment horizontal="center" vertical="center" wrapText="1"/>
    </xf>
    <xf numFmtId="0" fontId="19" fillId="0" borderId="54" xfId="0" applyFont="1" applyBorder="1" applyAlignment="1">
      <alignment horizontal="center" vertical="center" wrapText="1"/>
    </xf>
    <xf numFmtId="0" fontId="21" fillId="7" borderId="59" xfId="0" applyFont="1" applyFill="1" applyBorder="1" applyAlignment="1">
      <alignment horizontal="center" vertical="center" wrapText="1" readingOrder="1"/>
    </xf>
    <xf numFmtId="0" fontId="21" fillId="9" borderId="59" xfId="0" applyFont="1" applyFill="1" applyBorder="1" applyAlignment="1">
      <alignment horizontal="center" vertical="center" wrapText="1" readingOrder="1"/>
    </xf>
    <xf numFmtId="0" fontId="21" fillId="8" borderId="59" xfId="0" applyFont="1" applyFill="1" applyBorder="1" applyAlignment="1">
      <alignment horizontal="center" vertical="center" wrapText="1" readingOrder="1"/>
    </xf>
    <xf numFmtId="0" fontId="21" fillId="10" borderId="59" xfId="0" applyFont="1" applyFill="1" applyBorder="1" applyAlignment="1">
      <alignment horizontal="center" vertical="center" wrapText="1" readingOrder="1"/>
    </xf>
    <xf numFmtId="0" fontId="13" fillId="0" borderId="0" xfId="0" applyFont="1" applyAlignment="1">
      <alignment horizontal="center" vertical="center"/>
    </xf>
    <xf numFmtId="0" fontId="27" fillId="0" borderId="0" xfId="0" applyFont="1" applyAlignment="1">
      <alignment horizontal="center" vertical="center"/>
    </xf>
    <xf numFmtId="0" fontId="44" fillId="2" borderId="43" xfId="0" applyFont="1" applyFill="1" applyBorder="1" applyAlignment="1">
      <alignment horizontal="left" vertical="center" wrapText="1"/>
    </xf>
    <xf numFmtId="0" fontId="3" fillId="0" borderId="44" xfId="0" applyFont="1" applyBorder="1"/>
    <xf numFmtId="0" fontId="42"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0"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2" fillId="15" borderId="81" xfId="0" applyFont="1" applyFill="1" applyBorder="1" applyAlignment="1">
      <alignment horizontal="center" vertical="center" wrapText="1" readingOrder="1"/>
    </xf>
    <xf numFmtId="0" fontId="3" fillId="0" borderId="84" xfId="0" applyFont="1" applyBorder="1"/>
    <xf numFmtId="0" fontId="42"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2" fillId="2" borderId="88" xfId="0" applyFont="1" applyFill="1" applyBorder="1" applyAlignment="1">
      <alignment horizontal="center" vertical="center" wrapText="1" readingOrder="1"/>
    </xf>
    <xf numFmtId="0" fontId="3" fillId="0" borderId="92" xfId="0" applyFont="1" applyBorder="1"/>
    <xf numFmtId="0" fontId="42" fillId="2" borderId="98" xfId="0" applyFont="1" applyFill="1" applyBorder="1" applyAlignment="1">
      <alignment horizontal="center" vertical="center" wrapText="1" readingOrder="1"/>
    </xf>
    <xf numFmtId="0" fontId="3" fillId="0" borderId="99" xfId="0" applyFont="1" applyBorder="1"/>
    <xf numFmtId="0" fontId="59" fillId="0" borderId="117" xfId="0" applyFont="1" applyBorder="1"/>
    <xf numFmtId="0" fontId="59" fillId="0" borderId="118" xfId="0" applyFont="1" applyBorder="1"/>
    <xf numFmtId="0" fontId="51" fillId="0" borderId="118" xfId="0" applyFont="1" applyBorder="1" applyAlignment="1">
      <alignment horizontal="justify" vertical="center" wrapText="1"/>
    </xf>
    <xf numFmtId="0" fontId="51" fillId="0" borderId="118" xfId="0" applyFont="1" applyBorder="1" applyAlignment="1">
      <alignment horizontal="center" vertical="center" wrapText="1"/>
    </xf>
    <xf numFmtId="0" fontId="51" fillId="0" borderId="119" xfId="0" applyFont="1" applyBorder="1" applyAlignment="1">
      <alignment horizontal="center" vertical="center" wrapText="1"/>
    </xf>
    <xf numFmtId="0" fontId="50" fillId="0" borderId="0" xfId="0" applyFont="1" applyAlignment="1">
      <alignment horizontal="center" vertical="center"/>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50" fillId="0" borderId="116" xfId="0" applyFont="1" applyBorder="1" applyAlignment="1">
      <alignment horizontal="center" vertical="center" wrapText="1"/>
    </xf>
    <xf numFmtId="0" fontId="55" fillId="0" borderId="107" xfId="0" applyFont="1" applyBorder="1" applyAlignment="1">
      <alignment horizontal="justify" vertical="center" wrapText="1"/>
    </xf>
    <xf numFmtId="0" fontId="55" fillId="0" borderId="106" xfId="0" applyFont="1" applyBorder="1" applyAlignment="1">
      <alignment horizontal="justify" vertical="center" wrapText="1"/>
    </xf>
    <xf numFmtId="0" fontId="55" fillId="0" borderId="108" xfId="0" applyFont="1" applyBorder="1" applyAlignment="1">
      <alignment horizontal="justify" vertical="center" wrapText="1"/>
    </xf>
    <xf numFmtId="0" fontId="59" fillId="0" borderId="112" xfId="0" applyFont="1" applyBorder="1"/>
    <xf numFmtId="0" fontId="59" fillId="0" borderId="52" xfId="0" applyFont="1" applyBorder="1"/>
    <xf numFmtId="0" fontId="59" fillId="0" borderId="113" xfId="0" applyFont="1" applyBorder="1"/>
    <xf numFmtId="0" fontId="55" fillId="0" borderId="112" xfId="0" applyFont="1" applyBorder="1" applyAlignment="1">
      <alignment horizontal="justify" vertical="center" wrapText="1"/>
    </xf>
    <xf numFmtId="0" fontId="55" fillId="0" borderId="52" xfId="0" applyFont="1" applyBorder="1" applyAlignment="1">
      <alignment horizontal="justify" vertical="center" wrapText="1"/>
    </xf>
    <xf numFmtId="0" fontId="55" fillId="0" borderId="113" xfId="0" applyFont="1" applyBorder="1" applyAlignment="1">
      <alignment horizontal="justify" vertical="center" wrapText="1"/>
    </xf>
    <xf numFmtId="0" fontId="55" fillId="0" borderId="11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113" xfId="0" applyFont="1" applyBorder="1" applyAlignment="1">
      <alignment horizontal="center" vertical="center" wrapText="1"/>
    </xf>
    <xf numFmtId="0" fontId="59" fillId="0" borderId="109" xfId="0" applyFont="1" applyBorder="1"/>
    <xf numFmtId="0" fontId="59" fillId="0" borderId="110" xfId="0" applyFont="1" applyBorder="1"/>
    <xf numFmtId="0" fontId="59" fillId="0" borderId="111" xfId="0" applyFont="1" applyBorder="1"/>
    <xf numFmtId="0" fontId="0" fillId="0" borderId="109" xfId="0"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cellXfs>
  <cellStyles count="1">
    <cellStyle name="Normal" xfId="0" builtinId="0"/>
  </cellStyles>
  <dxfs count="36">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35"/>
      <tableStyleElement type="firstRowStripe" dxfId="34"/>
      <tableStyleElement type="secondRowStripe" dxfId="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1551214</xdr:colOff>
      <xdr:row>0</xdr:row>
      <xdr:rowOff>0</xdr:rowOff>
    </xdr:from>
    <xdr:to>
      <xdr:col>2</xdr:col>
      <xdr:colOff>1768929</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3357" y="0"/>
          <a:ext cx="1796143" cy="126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K130"/>
  <sheetViews>
    <sheetView showGridLines="0" tabSelected="1" topLeftCell="A40" zoomScale="70" zoomScaleNormal="70" workbookViewId="0">
      <selection activeCell="P51" sqref="P51"/>
    </sheetView>
  </sheetViews>
  <sheetFormatPr baseColWidth="10" defaultColWidth="12.625" defaultRowHeight="16.5" x14ac:dyDescent="0.2"/>
  <cols>
    <col min="1" max="1" width="3.5" style="103" customWidth="1"/>
    <col min="2" max="2" width="20.625" style="103" customWidth="1"/>
    <col min="3" max="5" width="26.375" style="103" customWidth="1"/>
    <col min="6" max="6" width="16.625" style="103" customWidth="1"/>
    <col min="7" max="7" width="15.625" style="103" customWidth="1"/>
    <col min="8" max="8" width="14.5" style="103" customWidth="1"/>
    <col min="9" max="9" width="6.5" style="103" customWidth="1"/>
    <col min="10" max="10" width="23.875" style="103" customWidth="1"/>
    <col min="11" max="11" width="26.75" style="103" bestFit="1" customWidth="1"/>
    <col min="12" max="12" width="15.375" style="103" customWidth="1"/>
    <col min="13" max="13" width="5.5" style="103" customWidth="1"/>
    <col min="14" max="14" width="14" style="103" customWidth="1"/>
    <col min="15" max="15" width="5.125" style="103" customWidth="1"/>
    <col min="16" max="16" width="103.375" style="103" customWidth="1"/>
    <col min="17" max="17" width="13.25" style="103" customWidth="1"/>
    <col min="18" max="18" width="6" style="103" customWidth="1"/>
    <col min="19" max="19" width="4.375" style="103" customWidth="1"/>
    <col min="20" max="20" width="4.875" style="103" customWidth="1"/>
    <col min="21" max="21" width="6.25" style="103" customWidth="1"/>
    <col min="22" max="22" width="5.875" style="103" customWidth="1"/>
    <col min="23" max="23" width="6.625" style="103" customWidth="1"/>
    <col min="24" max="24" width="6.375" style="103" customWidth="1"/>
    <col min="25" max="25" width="7.625" style="103" customWidth="1"/>
    <col min="26" max="26" width="6.625" style="103" customWidth="1"/>
    <col min="27" max="27" width="8.125" style="103" customWidth="1"/>
    <col min="28" max="28" width="6.75" style="103" customWidth="1"/>
    <col min="29" max="29" width="7.375" style="103" customWidth="1"/>
    <col min="30" max="30" width="7.375" customWidth="1"/>
    <col min="31" max="31" width="8.375" style="103" customWidth="1"/>
    <col min="32" max="32" width="20.125" style="103" customWidth="1"/>
    <col min="33" max="33" width="16.5" style="103" customWidth="1"/>
    <col min="34" max="34" width="19.875" style="103" customWidth="1"/>
    <col min="35" max="35" width="17.875" style="103" customWidth="1"/>
    <col min="36" max="36" width="16.25" style="103" customWidth="1"/>
    <col min="37" max="37" width="18.375" style="103" customWidth="1"/>
    <col min="38" max="56" width="10" style="103" customWidth="1"/>
    <col min="57" max="16384" width="12.625" style="103"/>
  </cols>
  <sheetData>
    <row r="1" spans="1:37" ht="23.25" thickBot="1" x14ac:dyDescent="0.25">
      <c r="A1" s="169"/>
      <c r="B1" s="170"/>
      <c r="C1" s="170"/>
      <c r="D1" s="171"/>
      <c r="E1" s="178" t="s">
        <v>224</v>
      </c>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9"/>
    </row>
    <row r="2" spans="1:37" ht="24" x14ac:dyDescent="0.2">
      <c r="A2" s="172"/>
      <c r="B2" s="173"/>
      <c r="C2" s="173"/>
      <c r="D2" s="174"/>
      <c r="E2" s="180" t="s">
        <v>225</v>
      </c>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1"/>
    </row>
    <row r="3" spans="1:37" ht="23.25" thickBot="1" x14ac:dyDescent="0.25">
      <c r="A3" s="172"/>
      <c r="B3" s="173"/>
      <c r="C3" s="173"/>
      <c r="D3" s="174"/>
      <c r="E3" s="182" t="s">
        <v>221</v>
      </c>
      <c r="F3" s="182"/>
      <c r="G3" s="182"/>
      <c r="H3" s="182"/>
      <c r="I3" s="182"/>
      <c r="J3" s="182"/>
      <c r="K3" s="182"/>
      <c r="L3" s="182"/>
      <c r="M3" s="182"/>
      <c r="N3" s="183"/>
      <c r="O3" s="183"/>
      <c r="P3" s="183"/>
      <c r="Q3" s="183"/>
      <c r="R3" s="183"/>
      <c r="S3" s="183"/>
      <c r="T3" s="183"/>
      <c r="U3" s="183"/>
      <c r="V3" s="183"/>
      <c r="W3" s="183"/>
      <c r="X3" s="183"/>
      <c r="Y3" s="182"/>
      <c r="Z3" s="182"/>
      <c r="AA3" s="182"/>
      <c r="AB3" s="182"/>
      <c r="AC3" s="182"/>
      <c r="AD3" s="182"/>
      <c r="AE3" s="182"/>
      <c r="AF3" s="182"/>
      <c r="AG3" s="182"/>
      <c r="AH3" s="182"/>
      <c r="AI3" s="182"/>
      <c r="AJ3" s="182"/>
      <c r="AK3" s="184"/>
    </row>
    <row r="4" spans="1:37" x14ac:dyDescent="0.2">
      <c r="A4" s="172"/>
      <c r="B4" s="173"/>
      <c r="C4" s="173"/>
      <c r="D4" s="174"/>
      <c r="E4" s="185" t="s">
        <v>217</v>
      </c>
      <c r="F4" s="186"/>
      <c r="G4" s="186"/>
      <c r="H4" s="186"/>
      <c r="I4" s="186"/>
      <c r="J4" s="186"/>
      <c r="K4" s="186"/>
      <c r="L4" s="186"/>
      <c r="M4" s="186"/>
      <c r="N4" s="185" t="s">
        <v>218</v>
      </c>
      <c r="O4" s="186"/>
      <c r="P4" s="186"/>
      <c r="Q4" s="186"/>
      <c r="R4" s="186"/>
      <c r="S4" s="186"/>
      <c r="T4" s="186"/>
      <c r="U4" s="186"/>
      <c r="V4" s="186"/>
      <c r="W4" s="186"/>
      <c r="X4" s="189"/>
      <c r="Y4" s="186" t="s">
        <v>219</v>
      </c>
      <c r="Z4" s="186"/>
      <c r="AA4" s="186"/>
      <c r="AB4" s="186"/>
      <c r="AC4" s="186"/>
      <c r="AD4" s="186"/>
      <c r="AE4" s="186"/>
      <c r="AF4" s="186"/>
      <c r="AG4" s="189"/>
      <c r="AH4" s="185" t="s">
        <v>220</v>
      </c>
      <c r="AI4" s="186"/>
      <c r="AJ4" s="186"/>
      <c r="AK4" s="189"/>
    </row>
    <row r="5" spans="1:37" ht="18" thickBot="1" x14ac:dyDescent="0.25">
      <c r="A5" s="175"/>
      <c r="B5" s="176"/>
      <c r="C5" s="176"/>
      <c r="D5" s="177"/>
      <c r="E5" s="187">
        <v>45258</v>
      </c>
      <c r="F5" s="188"/>
      <c r="G5" s="188"/>
      <c r="H5" s="188"/>
      <c r="I5" s="188"/>
      <c r="J5" s="188"/>
      <c r="K5" s="188"/>
      <c r="L5" s="188"/>
      <c r="M5" s="188"/>
      <c r="N5" s="190" t="s">
        <v>241</v>
      </c>
      <c r="O5" s="191"/>
      <c r="P5" s="191"/>
      <c r="Q5" s="191"/>
      <c r="R5" s="191"/>
      <c r="S5" s="191"/>
      <c r="T5" s="191"/>
      <c r="U5" s="191"/>
      <c r="V5" s="191"/>
      <c r="W5" s="191"/>
      <c r="X5" s="192"/>
      <c r="Y5" s="188" t="s">
        <v>222</v>
      </c>
      <c r="Z5" s="188"/>
      <c r="AA5" s="188"/>
      <c r="AB5" s="188"/>
      <c r="AC5" s="188"/>
      <c r="AD5" s="188"/>
      <c r="AE5" s="188"/>
      <c r="AF5" s="188"/>
      <c r="AG5" s="193"/>
      <c r="AH5" s="194" t="s">
        <v>223</v>
      </c>
      <c r="AI5" s="188"/>
      <c r="AJ5" s="188"/>
      <c r="AK5" s="193"/>
    </row>
    <row r="6" spans="1:37" x14ac:dyDescent="0.3">
      <c r="AD6" s="115"/>
    </row>
    <row r="7" spans="1:37" x14ac:dyDescent="0.2">
      <c r="A7" s="152" t="s">
        <v>61</v>
      </c>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row>
    <row r="8" spans="1:37" x14ac:dyDescent="0.2">
      <c r="A8" s="152"/>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row>
    <row r="9" spans="1:37" x14ac:dyDescent="0.2">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5"/>
      <c r="AE9" s="104"/>
      <c r="AF9" s="104"/>
      <c r="AG9" s="104"/>
      <c r="AH9" s="104"/>
      <c r="AI9" s="104"/>
      <c r="AJ9" s="104"/>
      <c r="AK9" s="104"/>
    </row>
    <row r="10" spans="1:37" ht="18.75" x14ac:dyDescent="0.2">
      <c r="A10" s="161" t="s">
        <v>213</v>
      </c>
      <c r="B10" s="162"/>
      <c r="C10" s="163" t="s">
        <v>242</v>
      </c>
      <c r="D10" s="164"/>
      <c r="E10" s="164"/>
      <c r="F10" s="164"/>
      <c r="G10" s="164"/>
      <c r="H10" s="164"/>
      <c r="I10" s="164"/>
      <c r="J10" s="164"/>
      <c r="K10" s="164"/>
      <c r="L10" s="164"/>
      <c r="M10" s="164"/>
      <c r="N10" s="165"/>
      <c r="O10" s="166"/>
      <c r="P10" s="167"/>
      <c r="Q10" s="168"/>
      <c r="R10" s="104"/>
      <c r="S10" s="104"/>
      <c r="T10" s="104"/>
      <c r="U10" s="104"/>
      <c r="V10" s="104"/>
      <c r="W10" s="104"/>
      <c r="X10" s="104"/>
      <c r="Y10" s="104"/>
      <c r="Z10" s="104"/>
      <c r="AA10" s="104"/>
      <c r="AB10" s="104"/>
      <c r="AC10" s="104"/>
      <c r="AD10" s="149"/>
      <c r="AE10" s="104"/>
      <c r="AF10" s="104"/>
      <c r="AG10" s="104"/>
      <c r="AH10" s="104"/>
      <c r="AI10" s="104"/>
      <c r="AJ10" s="104"/>
      <c r="AK10" s="104"/>
    </row>
    <row r="11" spans="1:37" ht="18.75" x14ac:dyDescent="0.2">
      <c r="A11" s="161" t="s">
        <v>62</v>
      </c>
      <c r="B11" s="162"/>
      <c r="C11" s="156" t="s">
        <v>243</v>
      </c>
      <c r="D11" s="157"/>
      <c r="E11" s="157"/>
      <c r="F11" s="157"/>
      <c r="G11" s="157"/>
      <c r="H11" s="157"/>
      <c r="I11" s="157"/>
      <c r="J11" s="157"/>
      <c r="K11" s="157"/>
      <c r="L11" s="157"/>
      <c r="M11" s="157"/>
      <c r="N11" s="158"/>
      <c r="O11" s="104"/>
      <c r="P11" s="104"/>
      <c r="Q11" s="104"/>
      <c r="R11" s="104"/>
      <c r="S11" s="104"/>
      <c r="T11" s="104"/>
      <c r="U11" s="104"/>
      <c r="V11" s="104"/>
      <c r="W11" s="104"/>
      <c r="X11" s="104"/>
      <c r="Y11" s="104"/>
      <c r="Z11" s="104"/>
      <c r="AA11" s="104"/>
      <c r="AB11" s="104"/>
      <c r="AC11" s="104"/>
      <c r="AD11" s="149"/>
      <c r="AE11" s="104"/>
      <c r="AF11" s="104"/>
      <c r="AG11" s="104"/>
      <c r="AH11" s="104"/>
      <c r="AI11" s="104"/>
      <c r="AJ11" s="104"/>
      <c r="AK11" s="104"/>
    </row>
    <row r="12" spans="1:37" ht="18.75" x14ac:dyDescent="0.2">
      <c r="A12" s="161" t="s">
        <v>63</v>
      </c>
      <c r="B12" s="162"/>
      <c r="C12" s="156" t="s">
        <v>244</v>
      </c>
      <c r="D12" s="157"/>
      <c r="E12" s="157"/>
      <c r="F12" s="157"/>
      <c r="G12" s="157"/>
      <c r="H12" s="157"/>
      <c r="I12" s="157"/>
      <c r="J12" s="157"/>
      <c r="K12" s="157"/>
      <c r="L12" s="157"/>
      <c r="M12" s="157"/>
      <c r="N12" s="158"/>
      <c r="O12" s="105"/>
      <c r="P12" s="105"/>
      <c r="Q12" s="105"/>
      <c r="R12" s="105"/>
      <c r="S12" s="105"/>
      <c r="T12" s="105"/>
      <c r="U12" s="105"/>
      <c r="V12" s="105"/>
      <c r="W12" s="105"/>
      <c r="X12" s="105"/>
      <c r="Y12" s="105"/>
      <c r="Z12" s="105"/>
      <c r="AA12" s="105"/>
      <c r="AB12" s="105"/>
      <c r="AC12" s="105"/>
      <c r="AD12" s="149"/>
      <c r="AE12" s="105"/>
      <c r="AF12" s="105"/>
      <c r="AG12" s="105"/>
      <c r="AH12" s="105"/>
      <c r="AI12" s="105"/>
      <c r="AJ12" s="105"/>
      <c r="AK12" s="105"/>
    </row>
    <row r="13" spans="1:37" s="117" customFormat="1" x14ac:dyDescent="0.2">
      <c r="A13" s="152" t="s">
        <v>64</v>
      </c>
      <c r="B13" s="153"/>
      <c r="C13" s="153"/>
      <c r="D13" s="153"/>
      <c r="E13" s="153"/>
      <c r="F13" s="153"/>
      <c r="G13" s="153"/>
      <c r="H13" s="152" t="s">
        <v>65</v>
      </c>
      <c r="I13" s="153"/>
      <c r="J13" s="153"/>
      <c r="K13" s="153"/>
      <c r="L13" s="153"/>
      <c r="M13" s="153"/>
      <c r="N13" s="153"/>
      <c r="O13" s="152" t="s">
        <v>66</v>
      </c>
      <c r="P13" s="153"/>
      <c r="Q13" s="153"/>
      <c r="R13" s="153"/>
      <c r="S13" s="153"/>
      <c r="T13" s="153"/>
      <c r="U13" s="153"/>
      <c r="V13" s="153"/>
      <c r="W13" s="153"/>
      <c r="X13" s="152" t="s">
        <v>67</v>
      </c>
      <c r="Y13" s="153"/>
      <c r="Z13" s="153"/>
      <c r="AA13" s="153"/>
      <c r="AB13" s="153"/>
      <c r="AC13" s="153"/>
      <c r="AD13" s="153"/>
      <c r="AE13" s="153"/>
      <c r="AF13" s="152" t="s">
        <v>68</v>
      </c>
      <c r="AG13" s="153"/>
      <c r="AH13" s="153"/>
      <c r="AI13" s="153"/>
      <c r="AJ13" s="153"/>
      <c r="AK13" s="153"/>
    </row>
    <row r="14" spans="1:37" s="117" customFormat="1" x14ac:dyDescent="0.2">
      <c r="A14" s="160" t="s">
        <v>69</v>
      </c>
      <c r="B14" s="152" t="s">
        <v>15</v>
      </c>
      <c r="C14" s="154" t="s">
        <v>17</v>
      </c>
      <c r="D14" s="154" t="s">
        <v>19</v>
      </c>
      <c r="E14" s="152" t="s">
        <v>21</v>
      </c>
      <c r="F14" s="154" t="s">
        <v>23</v>
      </c>
      <c r="G14" s="154" t="s">
        <v>70</v>
      </c>
      <c r="H14" s="154" t="s">
        <v>71</v>
      </c>
      <c r="I14" s="152" t="s">
        <v>72</v>
      </c>
      <c r="J14" s="154" t="s">
        <v>73</v>
      </c>
      <c r="K14" s="154" t="s">
        <v>74</v>
      </c>
      <c r="L14" s="154" t="s">
        <v>75</v>
      </c>
      <c r="M14" s="152" t="s">
        <v>72</v>
      </c>
      <c r="N14" s="154" t="s">
        <v>29</v>
      </c>
      <c r="O14" s="155" t="s">
        <v>76</v>
      </c>
      <c r="P14" s="154" t="s">
        <v>31</v>
      </c>
      <c r="Q14" s="154" t="s">
        <v>33</v>
      </c>
      <c r="R14" s="154" t="s">
        <v>77</v>
      </c>
      <c r="S14" s="153"/>
      <c r="T14" s="153"/>
      <c r="U14" s="153"/>
      <c r="V14" s="153"/>
      <c r="W14" s="153"/>
      <c r="X14" s="155" t="s">
        <v>78</v>
      </c>
      <c r="Y14" s="155" t="s">
        <v>79</v>
      </c>
      <c r="Z14" s="155" t="s">
        <v>72</v>
      </c>
      <c r="AA14" s="155" t="s">
        <v>80</v>
      </c>
      <c r="AB14" s="155" t="s">
        <v>72</v>
      </c>
      <c r="AC14" s="155" t="s">
        <v>240</v>
      </c>
      <c r="AD14" s="150" t="s">
        <v>81</v>
      </c>
      <c r="AE14" s="155" t="s">
        <v>50</v>
      </c>
      <c r="AF14" s="154" t="s">
        <v>68</v>
      </c>
      <c r="AG14" s="154" t="s">
        <v>82</v>
      </c>
      <c r="AH14" s="154" t="s">
        <v>83</v>
      </c>
      <c r="AI14" s="154" t="s">
        <v>84</v>
      </c>
      <c r="AJ14" s="154" t="s">
        <v>85</v>
      </c>
      <c r="AK14" s="154" t="s">
        <v>54</v>
      </c>
    </row>
    <row r="15" spans="1:37" s="117" customFormat="1" ht="98.25" x14ac:dyDescent="0.2">
      <c r="A15" s="153"/>
      <c r="B15" s="153"/>
      <c r="C15" s="153"/>
      <c r="D15" s="153"/>
      <c r="E15" s="153"/>
      <c r="F15" s="153"/>
      <c r="G15" s="153"/>
      <c r="H15" s="153"/>
      <c r="I15" s="153"/>
      <c r="J15" s="153"/>
      <c r="K15" s="153"/>
      <c r="L15" s="153"/>
      <c r="M15" s="153"/>
      <c r="N15" s="153"/>
      <c r="O15" s="153"/>
      <c r="P15" s="153"/>
      <c r="Q15" s="153"/>
      <c r="R15" s="118" t="s">
        <v>86</v>
      </c>
      <c r="S15" s="118" t="s">
        <v>87</v>
      </c>
      <c r="T15" s="118" t="s">
        <v>88</v>
      </c>
      <c r="U15" s="118" t="s">
        <v>89</v>
      </c>
      <c r="V15" s="118" t="s">
        <v>90</v>
      </c>
      <c r="W15" s="118" t="s">
        <v>91</v>
      </c>
      <c r="X15" s="153"/>
      <c r="Y15" s="153"/>
      <c r="Z15" s="153"/>
      <c r="AA15" s="153"/>
      <c r="AB15" s="153"/>
      <c r="AC15" s="153"/>
      <c r="AD15" s="151"/>
      <c r="AE15" s="153"/>
      <c r="AF15" s="153"/>
      <c r="AG15" s="153"/>
      <c r="AH15" s="153"/>
      <c r="AI15" s="153"/>
      <c r="AJ15" s="153"/>
      <c r="AK15" s="153"/>
    </row>
    <row r="16" spans="1:37" ht="86.25" x14ac:dyDescent="0.2">
      <c r="A16" s="134">
        <v>1</v>
      </c>
      <c r="B16" s="131" t="s">
        <v>197</v>
      </c>
      <c r="C16" s="131" t="s">
        <v>245</v>
      </c>
      <c r="D16" s="131" t="s">
        <v>246</v>
      </c>
      <c r="E16" s="131" t="s">
        <v>247</v>
      </c>
      <c r="F16" s="131" t="s">
        <v>203</v>
      </c>
      <c r="G16" s="134">
        <v>3550</v>
      </c>
      <c r="H16" s="137" t="str">
        <f>IF(G16&lt;=0,"",IF(G16&lt;=2,"Muy Baja",IF(G16&lt;=24,"Baja",IF(G16&lt;=500,"Media",IF(G16&lt;=5000,"Alta","Muy Alta")))))</f>
        <v>Alta</v>
      </c>
      <c r="I16" s="140">
        <f>IF(H16="","",IF(H16="Muy Baja",0.2,IF(H16="Baja",0.4,IF(H16="Media",0.6,IF(H16="Alta",0.8,IF(H16="Muy Alta",1,))))))</f>
        <v>0.8</v>
      </c>
      <c r="J16" s="143" t="s">
        <v>149</v>
      </c>
      <c r="K16" s="140" t="str">
        <f>IF(NOT(ISERROR(MATCH(J16,'[1]Tabla Impacto'!$B$221:$B$223,0))),'[1]Tabla Impacto'!$F$223&amp;"Por favor no seleccionar los criterios de impacto(Afectación Económica o presupuestal y Pérdida Reputacional)",J16)</f>
        <v xml:space="preserve">     El riesgo afecta la imagen de la entidad internamente, de conocimiento general, nivel interno, de junta dircetiva y accionistas y/o de provedores</v>
      </c>
      <c r="L16" s="137" t="str">
        <f>IF(OR(K16='[1]Tabla Impacto'!$C$11,K16='[1]Tabla Impacto'!$D$11),"Leve",IF(OR(K16='[1]Tabla Impacto'!$C$12,K16='[1]Tabla Impacto'!$D$12),"Menor",IF(OR(K16='[1]Tabla Impacto'!$C$13,K16='[1]Tabla Impacto'!$D$13),"Moderado",IF(OR(K16='[1]Tabla Impacto'!$C$14,K16='[1]Tabla Impacto'!$D$14),"Mayor",IF(OR(K16='[1]Tabla Impacto'!$C$15,K16='[1]Tabla Impacto'!$D$15),"Catastrófico","")))))</f>
        <v>Menor</v>
      </c>
      <c r="M16" s="140">
        <f>IF(L16="","",IF(L16="Leve",0.2,IF(L16="Menor",0.4,IF(L16="Moderado",0.6,IF(L16="Mayor",0.8,IF(L16="Catastrófico",1,))))))</f>
        <v>0.4</v>
      </c>
      <c r="N16" s="146"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06">
        <v>1</v>
      </c>
      <c r="P16" s="122" t="s">
        <v>259</v>
      </c>
      <c r="Q16" s="110" t="str">
        <f t="shared" ref="Q16:Q79" si="0">IF(OR(R16="Preventivo",R16="Detectivo"),"Probabilidad",IF(R16="Correctivo","Impacto",""))</f>
        <v>Probabilidad</v>
      </c>
      <c r="R16" s="108" t="s">
        <v>167</v>
      </c>
      <c r="S16" s="108" t="s">
        <v>175</v>
      </c>
      <c r="T16" s="111" t="str">
        <f t="shared" ref="T16" si="1">IF(AND(R16="Preventivo",S16="Automático"),"50%",IF(AND(R16="Preventivo",S16="Manual"),"40%",IF(AND(R16="Detectivo",S16="Automático"),"40%",IF(AND(R16="Detectivo",S16="Manual"),"30%",IF(AND(R16="Correctivo",S16="Automático"),"35%",IF(AND(R16="Correctivo",S16="Manual"),"25%",""))))))</f>
        <v>40%</v>
      </c>
      <c r="U16" s="121" t="s">
        <v>178</v>
      </c>
      <c r="V16" s="121" t="s">
        <v>183</v>
      </c>
      <c r="W16" s="121" t="s">
        <v>187</v>
      </c>
      <c r="X16" s="112">
        <f>IFERROR(IF(Q16="Probabilidad",(I16-(+I16*T16)),IF(Q16="Impacto",I16,"")),"")</f>
        <v>0.48</v>
      </c>
      <c r="Y16" s="113" t="str">
        <f t="shared" ref="Y16" si="2">IFERROR(IF(X16="","",IF(X16&lt;=0.2,"Muy Baja",IF(X16&lt;=0.4,"Baja",IF(X16&lt;=0.6,"Media",IF(X16&lt;=0.8,"Alta","Muy Alta"))))),"")</f>
        <v>Media</v>
      </c>
      <c r="Z16" s="111">
        <f t="shared" ref="Z16" si="3">+X16</f>
        <v>0.48</v>
      </c>
      <c r="AA16" s="113" t="str">
        <f t="shared" ref="AA16" si="4">IFERROR(IF(AB16="","",IF(AB16&lt;=0.2,"Leve",IF(AB16&lt;=0.4,"Menor",IF(AB16&lt;=0.6,"Moderado",IF(AB16&lt;=0.8,"Mayor","Catastrófico"))))),"")</f>
        <v>Menor</v>
      </c>
      <c r="AB16" s="111">
        <f>IFERROR(IF(Q16="Impacto",(M16-(+M16*T16)),IF(Q16="Probabilidad",M16,"")),"")</f>
        <v>0.4</v>
      </c>
      <c r="AC16" s="114" t="str">
        <f t="shared" ref="AC16"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28" t="b">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0</v>
      </c>
      <c r="AE16" s="125" t="s">
        <v>192</v>
      </c>
      <c r="AF16" s="107"/>
      <c r="AG16" s="107"/>
      <c r="AH16" s="109"/>
      <c r="AI16" s="109"/>
      <c r="AJ16" s="107"/>
      <c r="AK16" s="106"/>
    </row>
    <row r="17" spans="1:37" ht="86.25" x14ac:dyDescent="0.2">
      <c r="A17" s="135"/>
      <c r="B17" s="132"/>
      <c r="C17" s="132"/>
      <c r="D17" s="132"/>
      <c r="E17" s="132"/>
      <c r="F17" s="132"/>
      <c r="G17" s="135"/>
      <c r="H17" s="138"/>
      <c r="I17" s="141"/>
      <c r="J17" s="144"/>
      <c r="K17" s="141"/>
      <c r="L17" s="138"/>
      <c r="M17" s="141"/>
      <c r="N17" s="147"/>
      <c r="O17" s="106">
        <v>2</v>
      </c>
      <c r="P17" s="123" t="s">
        <v>260</v>
      </c>
      <c r="Q17" s="110" t="str">
        <f t="shared" si="0"/>
        <v>Probabilidad</v>
      </c>
      <c r="R17" s="108" t="s">
        <v>169</v>
      </c>
      <c r="S17" s="108" t="s">
        <v>175</v>
      </c>
      <c r="T17" s="111" t="str">
        <f t="shared" ref="T17:T80" si="6">IF(AND(R17="Preventivo",S17="Automático"),"50%",IF(AND(R17="Preventivo",S17="Manual"),"40%",IF(AND(R17="Detectivo",S17="Automático"),"40%",IF(AND(R17="Detectivo",S17="Manual"),"30%",IF(AND(R17="Correctivo",S17="Automático"),"35%",IF(AND(R17="Correctivo",S17="Manual"),"25%",""))))))</f>
        <v>30%</v>
      </c>
      <c r="U17" s="121" t="s">
        <v>178</v>
      </c>
      <c r="V17" s="121" t="s">
        <v>183</v>
      </c>
      <c r="W17" s="121" t="s">
        <v>187</v>
      </c>
      <c r="X17" s="112">
        <f t="shared" ref="X17:X80" si="7">IFERROR(IF(Q17="Probabilidad",(I17-(+I17*T17)),IF(Q17="Impacto",I17,"")),"")</f>
        <v>0</v>
      </c>
      <c r="Y17" s="113" t="str">
        <f t="shared" ref="Y17:Y80" si="8">IFERROR(IF(X17="","",IF(X17&lt;=0.2,"Muy Baja",IF(X17&lt;=0.4,"Baja",IF(X17&lt;=0.6,"Media",IF(X17&lt;=0.8,"Alta","Muy Alta"))))),"")</f>
        <v>Muy Baja</v>
      </c>
      <c r="Z17" s="111">
        <f t="shared" ref="Z17:Z80" si="9">+X17</f>
        <v>0</v>
      </c>
      <c r="AA17" s="113" t="str">
        <f t="shared" ref="AA17:AA80" si="10">IFERROR(IF(AB17="","",IF(AB17&lt;=0.2,"Leve",IF(AB17&lt;=0.4,"Menor",IF(AB17&lt;=0.6,"Moderado",IF(AB17&lt;=0.8,"Mayor","Catastrófico"))))),"")</f>
        <v>Leve</v>
      </c>
      <c r="AB17" s="111">
        <f t="shared" ref="AB17:AB80" si="11">IFERROR(IF(Q17="Impacto",(M17-(+M17*T17)),IF(Q17="Probabilidad",M17,"")),"")</f>
        <v>0</v>
      </c>
      <c r="AC17" s="114" t="str">
        <f t="shared" ref="AC17:AC80" si="12">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Bajo</v>
      </c>
      <c r="AD17" s="129"/>
      <c r="AE17" s="126"/>
      <c r="AF17" s="107"/>
      <c r="AG17" s="107"/>
      <c r="AH17" s="109"/>
      <c r="AI17" s="109"/>
      <c r="AJ17" s="107"/>
      <c r="AK17" s="106"/>
    </row>
    <row r="18" spans="1:37" ht="86.25" x14ac:dyDescent="0.2">
      <c r="A18" s="135"/>
      <c r="B18" s="132"/>
      <c r="C18" s="132"/>
      <c r="D18" s="132"/>
      <c r="E18" s="132"/>
      <c r="F18" s="132"/>
      <c r="G18" s="135"/>
      <c r="H18" s="138"/>
      <c r="I18" s="141"/>
      <c r="J18" s="144"/>
      <c r="K18" s="141"/>
      <c r="L18" s="138"/>
      <c r="M18" s="141"/>
      <c r="N18" s="147"/>
      <c r="O18" s="106">
        <v>3</v>
      </c>
      <c r="P18" s="124" t="s">
        <v>261</v>
      </c>
      <c r="Q18" s="110" t="str">
        <f t="shared" si="0"/>
        <v>Impacto</v>
      </c>
      <c r="R18" s="108" t="s">
        <v>171</v>
      </c>
      <c r="S18" s="108" t="s">
        <v>175</v>
      </c>
      <c r="T18" s="111" t="str">
        <f t="shared" si="6"/>
        <v>25%</v>
      </c>
      <c r="U18" s="121" t="s">
        <v>178</v>
      </c>
      <c r="V18" s="121" t="s">
        <v>183</v>
      </c>
      <c r="W18" s="121" t="s">
        <v>187</v>
      </c>
      <c r="X18" s="112">
        <f t="shared" si="7"/>
        <v>0</v>
      </c>
      <c r="Y18" s="113" t="str">
        <f t="shared" si="8"/>
        <v>Muy Baja</v>
      </c>
      <c r="Z18" s="111">
        <f t="shared" si="9"/>
        <v>0</v>
      </c>
      <c r="AA18" s="113" t="str">
        <f t="shared" si="10"/>
        <v>Leve</v>
      </c>
      <c r="AB18" s="111">
        <f t="shared" si="11"/>
        <v>0</v>
      </c>
      <c r="AC18" s="114" t="str">
        <f t="shared" si="12"/>
        <v>Bajo</v>
      </c>
      <c r="AD18" s="129"/>
      <c r="AE18" s="127"/>
      <c r="AF18" s="107"/>
      <c r="AG18" s="107"/>
      <c r="AH18" s="109"/>
      <c r="AI18" s="109"/>
      <c r="AJ18" s="107"/>
      <c r="AK18" s="106"/>
    </row>
    <row r="19" spans="1:37" ht="86.25" x14ac:dyDescent="0.2">
      <c r="A19" s="135"/>
      <c r="B19" s="132"/>
      <c r="C19" s="132"/>
      <c r="D19" s="132"/>
      <c r="E19" s="132"/>
      <c r="F19" s="132"/>
      <c r="G19" s="135"/>
      <c r="H19" s="138"/>
      <c r="I19" s="141"/>
      <c r="J19" s="144"/>
      <c r="K19" s="141"/>
      <c r="L19" s="138"/>
      <c r="M19" s="141"/>
      <c r="N19" s="147"/>
      <c r="O19" s="106">
        <v>4</v>
      </c>
      <c r="P19" s="124" t="s">
        <v>262</v>
      </c>
      <c r="Q19" s="110" t="str">
        <f t="shared" si="0"/>
        <v>Probabilidad</v>
      </c>
      <c r="R19" s="108" t="s">
        <v>169</v>
      </c>
      <c r="S19" s="108" t="s">
        <v>175</v>
      </c>
      <c r="T19" s="111" t="str">
        <f t="shared" si="6"/>
        <v>30%</v>
      </c>
      <c r="U19" s="121" t="s">
        <v>178</v>
      </c>
      <c r="V19" s="121" t="s">
        <v>183</v>
      </c>
      <c r="W19" s="121" t="s">
        <v>187</v>
      </c>
      <c r="X19" s="112">
        <f t="shared" si="7"/>
        <v>0</v>
      </c>
      <c r="Y19" s="113" t="str">
        <f t="shared" si="8"/>
        <v>Muy Baja</v>
      </c>
      <c r="Z19" s="111">
        <f t="shared" si="9"/>
        <v>0</v>
      </c>
      <c r="AA19" s="113" t="str">
        <f t="shared" si="10"/>
        <v>Leve</v>
      </c>
      <c r="AB19" s="111">
        <f t="shared" si="11"/>
        <v>0</v>
      </c>
      <c r="AC19" s="114" t="str">
        <f t="shared" si="12"/>
        <v>Bajo</v>
      </c>
      <c r="AD19" s="129"/>
      <c r="AE19" s="108" t="s">
        <v>192</v>
      </c>
      <c r="AF19" s="107"/>
      <c r="AG19" s="107"/>
      <c r="AH19" s="109"/>
      <c r="AI19" s="109"/>
      <c r="AJ19" s="107"/>
      <c r="AK19" s="106"/>
    </row>
    <row r="20" spans="1:37" ht="18.75" customHeight="1" x14ac:dyDescent="0.2">
      <c r="A20" s="135"/>
      <c r="B20" s="132"/>
      <c r="C20" s="132"/>
      <c r="D20" s="132"/>
      <c r="E20" s="132"/>
      <c r="F20" s="132"/>
      <c r="G20" s="135"/>
      <c r="H20" s="138"/>
      <c r="I20" s="141"/>
      <c r="J20" s="144"/>
      <c r="K20" s="141"/>
      <c r="L20" s="138"/>
      <c r="M20" s="141"/>
      <c r="N20" s="147"/>
      <c r="O20" s="106">
        <v>5</v>
      </c>
      <c r="P20" s="120"/>
      <c r="Q20" s="110" t="str">
        <f t="shared" si="0"/>
        <v/>
      </c>
      <c r="R20" s="108"/>
      <c r="S20" s="108"/>
      <c r="T20" s="111" t="str">
        <f t="shared" si="6"/>
        <v/>
      </c>
      <c r="U20" s="121"/>
      <c r="V20" s="121"/>
      <c r="W20" s="121" t="s">
        <v>187</v>
      </c>
      <c r="X20" s="112" t="str">
        <f t="shared" si="7"/>
        <v/>
      </c>
      <c r="Y20" s="113" t="str">
        <f t="shared" si="8"/>
        <v/>
      </c>
      <c r="Z20" s="111" t="str">
        <f t="shared" si="9"/>
        <v/>
      </c>
      <c r="AA20" s="113" t="str">
        <f t="shared" si="10"/>
        <v/>
      </c>
      <c r="AB20" s="111" t="str">
        <f t="shared" si="11"/>
        <v/>
      </c>
      <c r="AC20" s="114" t="str">
        <f t="shared" si="12"/>
        <v/>
      </c>
      <c r="AD20" s="129"/>
      <c r="AE20" s="108"/>
      <c r="AF20" s="107"/>
      <c r="AG20" s="107"/>
      <c r="AH20" s="109"/>
      <c r="AI20" s="109"/>
      <c r="AJ20" s="107"/>
      <c r="AK20" s="106"/>
    </row>
    <row r="21" spans="1:37" ht="18.75" customHeight="1" x14ac:dyDescent="0.2">
      <c r="A21" s="135"/>
      <c r="B21" s="132"/>
      <c r="C21" s="132"/>
      <c r="D21" s="132"/>
      <c r="E21" s="132"/>
      <c r="F21" s="132"/>
      <c r="G21" s="135"/>
      <c r="H21" s="138"/>
      <c r="I21" s="141"/>
      <c r="J21" s="144"/>
      <c r="K21" s="141"/>
      <c r="L21" s="138"/>
      <c r="M21" s="141"/>
      <c r="N21" s="147"/>
      <c r="O21" s="106">
        <v>6</v>
      </c>
      <c r="P21" s="120"/>
      <c r="Q21" s="110" t="str">
        <f t="shared" si="0"/>
        <v/>
      </c>
      <c r="R21" s="108"/>
      <c r="S21" s="108"/>
      <c r="T21" s="111" t="str">
        <f t="shared" si="6"/>
        <v/>
      </c>
      <c r="U21" s="121"/>
      <c r="V21" s="121"/>
      <c r="W21" s="121" t="s">
        <v>187</v>
      </c>
      <c r="X21" s="112" t="str">
        <f t="shared" si="7"/>
        <v/>
      </c>
      <c r="Y21" s="113" t="str">
        <f t="shared" si="8"/>
        <v/>
      </c>
      <c r="Z21" s="111" t="str">
        <f t="shared" si="9"/>
        <v/>
      </c>
      <c r="AA21" s="113" t="str">
        <f t="shared" si="10"/>
        <v/>
      </c>
      <c r="AB21" s="111" t="str">
        <f t="shared" si="11"/>
        <v/>
      </c>
      <c r="AC21" s="114" t="str">
        <f t="shared" si="12"/>
        <v/>
      </c>
      <c r="AD21" s="129"/>
      <c r="AE21" s="108"/>
      <c r="AF21" s="107"/>
      <c r="AG21" s="107"/>
      <c r="AH21" s="109"/>
      <c r="AI21" s="109"/>
      <c r="AJ21" s="107"/>
      <c r="AK21" s="106"/>
    </row>
    <row r="22" spans="1:37" ht="18.75" customHeight="1" x14ac:dyDescent="0.2">
      <c r="A22" s="136"/>
      <c r="B22" s="133"/>
      <c r="C22" s="133"/>
      <c r="D22" s="133"/>
      <c r="E22" s="133"/>
      <c r="F22" s="133"/>
      <c r="G22" s="136"/>
      <c r="H22" s="139"/>
      <c r="I22" s="142"/>
      <c r="J22" s="145"/>
      <c r="K22" s="142"/>
      <c r="L22" s="139"/>
      <c r="M22" s="142"/>
      <c r="N22" s="148"/>
      <c r="O22" s="106">
        <v>7</v>
      </c>
      <c r="P22" s="120"/>
      <c r="Q22" s="110" t="str">
        <f t="shared" si="0"/>
        <v/>
      </c>
      <c r="R22" s="108"/>
      <c r="S22" s="108"/>
      <c r="T22" s="111" t="str">
        <f t="shared" si="6"/>
        <v/>
      </c>
      <c r="U22" s="121"/>
      <c r="V22" s="121"/>
      <c r="W22" s="121" t="s">
        <v>187</v>
      </c>
      <c r="X22" s="112" t="str">
        <f t="shared" si="7"/>
        <v/>
      </c>
      <c r="Y22" s="113" t="str">
        <f t="shared" si="8"/>
        <v/>
      </c>
      <c r="Z22" s="111" t="str">
        <f t="shared" si="9"/>
        <v/>
      </c>
      <c r="AA22" s="113" t="str">
        <f t="shared" si="10"/>
        <v/>
      </c>
      <c r="AB22" s="111" t="str">
        <f t="shared" si="11"/>
        <v/>
      </c>
      <c r="AC22" s="114" t="str">
        <f t="shared" si="12"/>
        <v/>
      </c>
      <c r="AD22" s="130"/>
      <c r="AE22" s="108"/>
      <c r="AF22" s="107"/>
      <c r="AG22" s="107"/>
      <c r="AH22" s="109"/>
      <c r="AI22" s="109"/>
      <c r="AJ22" s="107"/>
      <c r="AK22" s="106"/>
    </row>
    <row r="23" spans="1:37" ht="86.25" x14ac:dyDescent="0.2">
      <c r="A23" s="134">
        <v>2</v>
      </c>
      <c r="B23" s="131" t="s">
        <v>197</v>
      </c>
      <c r="C23" s="131" t="s">
        <v>248</v>
      </c>
      <c r="D23" s="131" t="s">
        <v>249</v>
      </c>
      <c r="E23" s="131" t="s">
        <v>247</v>
      </c>
      <c r="F23" s="131" t="s">
        <v>203</v>
      </c>
      <c r="G23" s="134">
        <v>3500</v>
      </c>
      <c r="H23" s="137" t="str">
        <f t="shared" ref="H23" si="13">IF(G23&lt;=0,"",IF(G23&lt;=2,"Muy Baja",IF(G23&lt;=24,"Baja",IF(G23&lt;=500,"Media",IF(G23&lt;=5000,"Alta","Muy Alta")))))</f>
        <v>Alta</v>
      </c>
      <c r="I23" s="140">
        <f t="shared" ref="I23" si="14">IF(H23="","",IF(H23="Muy Baja",0.2,IF(H23="Baja",0.4,IF(H23="Media",0.6,IF(H23="Alta",0.8,IF(H23="Muy Alta",1,))))))</f>
        <v>0.8</v>
      </c>
      <c r="J23" s="143" t="s">
        <v>149</v>
      </c>
      <c r="K23" s="140" t="str">
        <f>IF(NOT(ISERROR(MATCH(J23,'[1]Tabla Impacto'!$B$221:$B$223,0))),'[1]Tabla Impacto'!$F$223&amp;"Por favor no seleccionar los criterios de impacto(Afectación Económica o presupuestal y Pérdida Reputacional)",J23)</f>
        <v xml:space="preserve">     El riesgo afecta la imagen de la entidad internamente, de conocimiento general, nivel interno, de junta dircetiva y accionistas y/o de provedores</v>
      </c>
      <c r="L23" s="137" t="str">
        <f>IF(OR(K23='[1]Tabla Impacto'!$C$11,K23='[1]Tabla Impacto'!$D$11),"Leve",IF(OR(K23='[1]Tabla Impacto'!$C$12,K23='[1]Tabla Impacto'!$D$12),"Menor",IF(OR(K23='[1]Tabla Impacto'!$C$13,K23='[1]Tabla Impacto'!$D$13),"Moderado",IF(OR(K23='[1]Tabla Impacto'!$C$14,K23='[1]Tabla Impacto'!$D$14),"Mayor",IF(OR(K23='[1]Tabla Impacto'!$C$15,K23='[1]Tabla Impacto'!$D$15),"Catastrófico","")))))</f>
        <v>Menor</v>
      </c>
      <c r="M23" s="140">
        <f t="shared" ref="M23" si="15">IF(L23="","",IF(L23="Leve",0.2,IF(L23="Menor",0.4,IF(L23="Moderado",0.6,IF(L23="Mayor",0.8,IF(L23="Catastrófico",1,))))))</f>
        <v>0.4</v>
      </c>
      <c r="N23" s="146" t="str">
        <f t="shared" ref="N23" si="16">IF(OR(AND(H23="Muy Baja",L23="Leve"),AND(H23="Muy Baja",L23="Menor"),AND(H23="Baja",L23="Leve")),"Bajo",IF(OR(AND(H23="Muy baja",L23="Moderado"),AND(H23="Baja",L23="Menor"),AND(H23="Baja",L23="Moderado"),AND(H23="Media",L23="Leve"),AND(H23="Media",L23="Menor"),AND(H23="Media",L23="Moderado"),AND(H23="Alta",L23="Leve"),AND(H23="Alta",L23="Menor")),"Moderado",IF(OR(AND(H23="Muy Baja",L23="Mayor"),AND(H23="Baja",L23="Mayor"),AND(H23="Media",L23="Mayor"),AND(H23="Alta",L23="Moderado"),AND(H23="Alta",L23="Mayor"),AND(H23="Muy Alta",L23="Leve"),AND(H23="Muy Alta",L23="Menor"),AND(H23="Muy Alta",L23="Moderado"),AND(H23="Muy Alta",L23="Mayor")),"Alto",IF(OR(AND(H23="Muy Baja",L23="Catastrófico"),AND(H23="Baja",L23="Catastrófico"),AND(H23="Media",L23="Catastrófico"),AND(H23="Alta",L23="Catastrófico"),AND(H23="Muy Alta",L23="Catastrófico")),"Extremo",""))))</f>
        <v>Moderado</v>
      </c>
      <c r="O23" s="106">
        <v>1</v>
      </c>
      <c r="P23" s="124" t="s">
        <v>263</v>
      </c>
      <c r="Q23" s="110" t="str">
        <f t="shared" si="0"/>
        <v>Probabilidad</v>
      </c>
      <c r="R23" s="108" t="s">
        <v>169</v>
      </c>
      <c r="S23" s="108" t="s">
        <v>175</v>
      </c>
      <c r="T23" s="111" t="str">
        <f t="shared" si="6"/>
        <v>30%</v>
      </c>
      <c r="U23" s="121" t="s">
        <v>178</v>
      </c>
      <c r="V23" s="121" t="s">
        <v>183</v>
      </c>
      <c r="W23" s="121" t="s">
        <v>187</v>
      </c>
      <c r="X23" s="112">
        <f t="shared" si="7"/>
        <v>0.56000000000000005</v>
      </c>
      <c r="Y23" s="113" t="str">
        <f t="shared" si="8"/>
        <v>Media</v>
      </c>
      <c r="Z23" s="111">
        <f t="shared" si="9"/>
        <v>0.56000000000000005</v>
      </c>
      <c r="AA23" s="113" t="str">
        <f t="shared" si="10"/>
        <v>Menor</v>
      </c>
      <c r="AB23" s="111">
        <f t="shared" si="11"/>
        <v>0.4</v>
      </c>
      <c r="AC23" s="114" t="str">
        <f t="shared" si="12"/>
        <v>Moderado</v>
      </c>
      <c r="AD23" s="128" t="b">
        <f t="shared" ref="AD23" si="17">IFERROR(IF(OR(AND(AC23="Bajo",AC24="Bajo",AC25="Bajo"),AND(AC23="Bajo",AC24="Bajo",AC25=""),AND(AC23="Bajo",AC24="",AC25="")),"Bajo",IF(OR(AND(AC23="Bajo",AC24="Bajo",AC25="Moderado"),AND(AC23="Bajo",AC24="Moderado",AC25="Moderado"),AND(AC23="Moderado",AC24="Moderado",AC25="Moderado"),AND(AC23="Bajo",AC24="Moderado",AC25=""),AND(AC23="Moderado",AC24="Bajo",AC25=""),AND(AC23="Moderado",AC24="Moderado",AC25=""),AND(AC23="Moderado",AC24="",AC25="")),"Moderado",IF(OR(AND(AC23="Bajo",AC24="Bajo",AC25="Alto"),AND(AC23="Bajo",AC24="Moderado",AC25="Alto"),AND(AC23="Moderado",AC24="Bajo",AC25="Alto"),AND(AC23="Moderado",AC24="Alto",AC25="Bajo"),AND(AC23="Moderado",AC24="Moderado",AC25="Alto"),AND(AC23="Alto",AC24="Bajo",AC25="Bajo"),AND(AC23="Alto",AC24="Moderado",AC25="Bajo"),AND(AC23="Alto",AC24="Moderado",AC25="Moderado"),AND(AC23="Alto",AC24="Alto",AC25="Bajo"),AND(AC23="Alto",AC24="Alto",AC25="Moderado"),AND(AC23="Alto",AC24="Alto",AC25="Alto"),AND(AC23="Alto",AC24="Bajo",AC25=""),AND(AC23="Alto",AC24="Moderado",AC25=""),AND(AC23="Alto",AC24="Alto",AC25=""),AND(AC23="Bajo",AC24="Alto",AC25=""),AND(AC23="Moderado",AC24="Alto",AC25=""),AND(AC23="Alto",AC24="",AC25="")),"Alto",IF(OR(AND(AC23="Bajo",AC24="Bajo",AC25="Extremo"),AND(AC23="Bajo",AC24="Moderado",AC25="Extremo"),AND(AC23="Bajo",AC24="Alto",AC25="Extremo"),AND(AC23="Moderado",AC24="Bajo",AC25="Extremo"),AND(AC23="Moderado",AC24="Alto",AC25="Extremo"),AND(AC23="Moderado",AC24="Moderado",AC25="Extremo"),AND(AC23="Alto",AC24="Bajo",AC25="Extremo"),AND(AC23="Alto",AC24="Moderado",AC25="Extremo"),AND(AC23="Alto",AC24="Alto",AC25="Extremo"),AND(AC23="Extremo",AC24="Bajo",AC25="Bajo"),AND(AC23="Extremo",AC24="Bajo",AC25="Moderado"),AND(AC23="Extremo",AC24="Bajo",AC25="Alto"),AND(AC23="Extremo",AC24="Moderado",AC25="Bajo"),AND(AC23="Extremo",AC24="Moderado",AC25="Moderado"),AND(AC23="Extremo",AC24="Moderado",AC25="Alto"),AND(AC23="Extremo",AC24="Alto",AC25="Bajo"),AND(AC23="Extremo",AC24="Alto",AC25="Moderado"),AND(AC23="Extremo",AC24="Alto",AC25="Alto"),AND(AC23="Extremo",AC24="Extremo",AC25="Bajo"),AND(AC23="Extremo",AC24="Extremo",AC25="Moderado"),AND(AC23="Extremo",AC24="Extremo",AC25="Alto"),AND(AC23="Extremo",AC24="Extremo",AC25="Extremo"),AND(AC23="Extremo",AC24="Bajo",AC25=""),AND(AC23="Extremo",AC24="Moderado",AC25=""),AND(AC23="Extremo",AC24="Alto",AC25=""),AND(AC23="Extremo",AC24="",AC25="")),"Extremo")))),"")</f>
        <v>0</v>
      </c>
      <c r="AE23" s="125" t="s">
        <v>192</v>
      </c>
      <c r="AF23" s="107"/>
      <c r="AG23" s="107"/>
      <c r="AH23" s="109"/>
      <c r="AI23" s="109"/>
      <c r="AJ23" s="107"/>
      <c r="AK23" s="106"/>
    </row>
    <row r="24" spans="1:37" ht="86.25" x14ac:dyDescent="0.2">
      <c r="A24" s="135"/>
      <c r="B24" s="132"/>
      <c r="C24" s="132"/>
      <c r="D24" s="132"/>
      <c r="E24" s="132"/>
      <c r="F24" s="132"/>
      <c r="G24" s="135"/>
      <c r="H24" s="138"/>
      <c r="I24" s="141"/>
      <c r="J24" s="144"/>
      <c r="K24" s="141"/>
      <c r="L24" s="138"/>
      <c r="M24" s="141"/>
      <c r="N24" s="147"/>
      <c r="O24" s="106">
        <v>2</v>
      </c>
      <c r="P24" s="124" t="s">
        <v>264</v>
      </c>
      <c r="Q24" s="110" t="str">
        <f t="shared" si="0"/>
        <v>Probabilidad</v>
      </c>
      <c r="R24" s="108" t="s">
        <v>169</v>
      </c>
      <c r="S24" s="108" t="s">
        <v>175</v>
      </c>
      <c r="T24" s="111" t="str">
        <f t="shared" si="6"/>
        <v>30%</v>
      </c>
      <c r="U24" s="121" t="s">
        <v>178</v>
      </c>
      <c r="V24" s="121" t="s">
        <v>183</v>
      </c>
      <c r="W24" s="121" t="s">
        <v>187</v>
      </c>
      <c r="X24" s="112">
        <f t="shared" si="7"/>
        <v>0</v>
      </c>
      <c r="Y24" s="113" t="str">
        <f t="shared" si="8"/>
        <v>Muy Baja</v>
      </c>
      <c r="Z24" s="111">
        <f t="shared" si="9"/>
        <v>0</v>
      </c>
      <c r="AA24" s="113" t="str">
        <f t="shared" si="10"/>
        <v>Leve</v>
      </c>
      <c r="AB24" s="111">
        <f t="shared" si="11"/>
        <v>0</v>
      </c>
      <c r="AC24" s="114" t="str">
        <f t="shared" si="12"/>
        <v>Bajo</v>
      </c>
      <c r="AD24" s="129"/>
      <c r="AE24" s="126"/>
      <c r="AF24" s="107"/>
      <c r="AG24" s="107"/>
      <c r="AH24" s="109"/>
      <c r="AI24" s="109"/>
      <c r="AJ24" s="107"/>
      <c r="AK24" s="106"/>
    </row>
    <row r="25" spans="1:37" ht="86.25" x14ac:dyDescent="0.2">
      <c r="A25" s="135"/>
      <c r="B25" s="132"/>
      <c r="C25" s="132"/>
      <c r="D25" s="132"/>
      <c r="E25" s="132"/>
      <c r="F25" s="132"/>
      <c r="G25" s="135"/>
      <c r="H25" s="138"/>
      <c r="I25" s="141"/>
      <c r="J25" s="144"/>
      <c r="K25" s="141"/>
      <c r="L25" s="138"/>
      <c r="M25" s="141"/>
      <c r="N25" s="147"/>
      <c r="O25" s="106">
        <v>3</v>
      </c>
      <c r="P25" s="124" t="s">
        <v>265</v>
      </c>
      <c r="Q25" s="110" t="str">
        <f t="shared" si="0"/>
        <v>Probabilidad</v>
      </c>
      <c r="R25" s="108" t="s">
        <v>169</v>
      </c>
      <c r="S25" s="108" t="s">
        <v>175</v>
      </c>
      <c r="T25" s="111" t="str">
        <f t="shared" si="6"/>
        <v>30%</v>
      </c>
      <c r="U25" s="121" t="s">
        <v>178</v>
      </c>
      <c r="V25" s="121" t="s">
        <v>183</v>
      </c>
      <c r="W25" s="121" t="s">
        <v>187</v>
      </c>
      <c r="X25" s="112">
        <f t="shared" si="7"/>
        <v>0</v>
      </c>
      <c r="Y25" s="113" t="str">
        <f t="shared" si="8"/>
        <v>Muy Baja</v>
      </c>
      <c r="Z25" s="111">
        <f t="shared" si="9"/>
        <v>0</v>
      </c>
      <c r="AA25" s="113" t="str">
        <f t="shared" si="10"/>
        <v>Leve</v>
      </c>
      <c r="AB25" s="111">
        <f t="shared" si="11"/>
        <v>0</v>
      </c>
      <c r="AC25" s="114" t="str">
        <f t="shared" si="12"/>
        <v>Bajo</v>
      </c>
      <c r="AD25" s="129"/>
      <c r="AE25" s="127"/>
      <c r="AF25" s="107"/>
      <c r="AG25" s="107"/>
      <c r="AH25" s="109"/>
      <c r="AI25" s="109"/>
      <c r="AJ25" s="107"/>
      <c r="AK25" s="106"/>
    </row>
    <row r="26" spans="1:37" ht="86.25" x14ac:dyDescent="0.2">
      <c r="A26" s="135"/>
      <c r="B26" s="132"/>
      <c r="C26" s="132"/>
      <c r="D26" s="132"/>
      <c r="E26" s="132"/>
      <c r="F26" s="132"/>
      <c r="G26" s="135"/>
      <c r="H26" s="138"/>
      <c r="I26" s="141"/>
      <c r="J26" s="144"/>
      <c r="K26" s="141"/>
      <c r="L26" s="138"/>
      <c r="M26" s="141"/>
      <c r="N26" s="147"/>
      <c r="O26" s="106">
        <v>4</v>
      </c>
      <c r="P26" s="124" t="s">
        <v>266</v>
      </c>
      <c r="Q26" s="110" t="str">
        <f t="shared" si="0"/>
        <v>Probabilidad</v>
      </c>
      <c r="R26" s="108" t="s">
        <v>169</v>
      </c>
      <c r="S26" s="108" t="s">
        <v>175</v>
      </c>
      <c r="T26" s="111" t="str">
        <f t="shared" si="6"/>
        <v>30%</v>
      </c>
      <c r="U26" s="121" t="s">
        <v>178</v>
      </c>
      <c r="V26" s="121" t="s">
        <v>183</v>
      </c>
      <c r="W26" s="121" t="s">
        <v>187</v>
      </c>
      <c r="X26" s="112">
        <f t="shared" si="7"/>
        <v>0</v>
      </c>
      <c r="Y26" s="113" t="str">
        <f t="shared" si="8"/>
        <v>Muy Baja</v>
      </c>
      <c r="Z26" s="111">
        <f t="shared" si="9"/>
        <v>0</v>
      </c>
      <c r="AA26" s="113" t="str">
        <f t="shared" si="10"/>
        <v>Leve</v>
      </c>
      <c r="AB26" s="111">
        <f t="shared" si="11"/>
        <v>0</v>
      </c>
      <c r="AC26" s="114" t="str">
        <f t="shared" si="12"/>
        <v>Bajo</v>
      </c>
      <c r="AD26" s="129"/>
      <c r="AE26" s="125" t="s">
        <v>192</v>
      </c>
      <c r="AF26" s="107"/>
      <c r="AG26" s="107"/>
      <c r="AH26" s="109"/>
      <c r="AI26" s="109"/>
      <c r="AJ26" s="107"/>
      <c r="AK26" s="106"/>
    </row>
    <row r="27" spans="1:37" ht="86.25" x14ac:dyDescent="0.2">
      <c r="A27" s="135"/>
      <c r="B27" s="132"/>
      <c r="C27" s="132"/>
      <c r="D27" s="132"/>
      <c r="E27" s="132"/>
      <c r="F27" s="132"/>
      <c r="G27" s="135"/>
      <c r="H27" s="138"/>
      <c r="I27" s="141"/>
      <c r="J27" s="144"/>
      <c r="K27" s="141"/>
      <c r="L27" s="138"/>
      <c r="M27" s="141"/>
      <c r="N27" s="147"/>
      <c r="O27" s="106">
        <v>5</v>
      </c>
      <c r="P27" s="124" t="s">
        <v>267</v>
      </c>
      <c r="Q27" s="110" t="str">
        <f t="shared" si="0"/>
        <v>Probabilidad</v>
      </c>
      <c r="R27" s="108" t="s">
        <v>169</v>
      </c>
      <c r="S27" s="108" t="s">
        <v>175</v>
      </c>
      <c r="T27" s="111" t="str">
        <f t="shared" si="6"/>
        <v>30%</v>
      </c>
      <c r="U27" s="121" t="s">
        <v>178</v>
      </c>
      <c r="V27" s="121" t="s">
        <v>183</v>
      </c>
      <c r="W27" s="121" t="s">
        <v>187</v>
      </c>
      <c r="X27" s="112">
        <f t="shared" si="7"/>
        <v>0</v>
      </c>
      <c r="Y27" s="113" t="str">
        <f t="shared" si="8"/>
        <v>Muy Baja</v>
      </c>
      <c r="Z27" s="111">
        <f t="shared" si="9"/>
        <v>0</v>
      </c>
      <c r="AA27" s="113" t="str">
        <f t="shared" si="10"/>
        <v>Leve</v>
      </c>
      <c r="AB27" s="111">
        <f t="shared" si="11"/>
        <v>0</v>
      </c>
      <c r="AC27" s="114" t="str">
        <f t="shared" si="12"/>
        <v>Bajo</v>
      </c>
      <c r="AD27" s="129"/>
      <c r="AE27" s="126"/>
      <c r="AF27" s="107"/>
      <c r="AG27" s="107"/>
      <c r="AH27" s="109"/>
      <c r="AI27" s="109"/>
      <c r="AJ27" s="107"/>
      <c r="AK27" s="106"/>
    </row>
    <row r="28" spans="1:37" ht="86.25" x14ac:dyDescent="0.2">
      <c r="A28" s="135"/>
      <c r="B28" s="132"/>
      <c r="C28" s="132"/>
      <c r="D28" s="132"/>
      <c r="E28" s="132"/>
      <c r="F28" s="132"/>
      <c r="G28" s="135"/>
      <c r="H28" s="138"/>
      <c r="I28" s="141"/>
      <c r="J28" s="144"/>
      <c r="K28" s="141"/>
      <c r="L28" s="138"/>
      <c r="M28" s="141"/>
      <c r="N28" s="147"/>
      <c r="O28" s="106">
        <v>6</v>
      </c>
      <c r="P28" s="124" t="s">
        <v>268</v>
      </c>
      <c r="Q28" s="110" t="str">
        <f t="shared" si="0"/>
        <v>Probabilidad</v>
      </c>
      <c r="R28" s="108" t="s">
        <v>169</v>
      </c>
      <c r="S28" s="108" t="s">
        <v>175</v>
      </c>
      <c r="T28" s="111" t="str">
        <f t="shared" si="6"/>
        <v>30%</v>
      </c>
      <c r="U28" s="121" t="s">
        <v>178</v>
      </c>
      <c r="V28" s="121" t="s">
        <v>183</v>
      </c>
      <c r="W28" s="121" t="s">
        <v>187</v>
      </c>
      <c r="X28" s="112">
        <f t="shared" si="7"/>
        <v>0</v>
      </c>
      <c r="Y28" s="113" t="str">
        <f t="shared" si="8"/>
        <v>Muy Baja</v>
      </c>
      <c r="Z28" s="111">
        <f t="shared" si="9"/>
        <v>0</v>
      </c>
      <c r="AA28" s="113" t="str">
        <f t="shared" si="10"/>
        <v>Leve</v>
      </c>
      <c r="AB28" s="111">
        <f t="shared" si="11"/>
        <v>0</v>
      </c>
      <c r="AC28" s="114" t="str">
        <f t="shared" si="12"/>
        <v>Bajo</v>
      </c>
      <c r="AD28" s="129"/>
      <c r="AE28" s="127"/>
      <c r="AF28" s="107"/>
      <c r="AG28" s="107"/>
      <c r="AH28" s="109"/>
      <c r="AI28" s="109"/>
      <c r="AJ28" s="107"/>
      <c r="AK28" s="106"/>
    </row>
    <row r="29" spans="1:37" ht="86.25" x14ac:dyDescent="0.2">
      <c r="A29" s="136"/>
      <c r="B29" s="133"/>
      <c r="C29" s="133"/>
      <c r="D29" s="133"/>
      <c r="E29" s="133"/>
      <c r="F29" s="133"/>
      <c r="G29" s="136"/>
      <c r="H29" s="139"/>
      <c r="I29" s="142"/>
      <c r="J29" s="145"/>
      <c r="K29" s="142"/>
      <c r="L29" s="139"/>
      <c r="M29" s="142"/>
      <c r="N29" s="148"/>
      <c r="O29" s="106">
        <v>7</v>
      </c>
      <c r="P29" s="124" t="s">
        <v>269</v>
      </c>
      <c r="Q29" s="110" t="str">
        <f t="shared" si="0"/>
        <v>Probabilidad</v>
      </c>
      <c r="R29" s="108" t="s">
        <v>169</v>
      </c>
      <c r="S29" s="108" t="s">
        <v>175</v>
      </c>
      <c r="T29" s="111" t="str">
        <f t="shared" si="6"/>
        <v>30%</v>
      </c>
      <c r="U29" s="121" t="s">
        <v>178</v>
      </c>
      <c r="V29" s="121" t="s">
        <v>183</v>
      </c>
      <c r="W29" s="121" t="s">
        <v>187</v>
      </c>
      <c r="X29" s="112">
        <f t="shared" si="7"/>
        <v>0</v>
      </c>
      <c r="Y29" s="113" t="str">
        <f t="shared" si="8"/>
        <v>Muy Baja</v>
      </c>
      <c r="Z29" s="111">
        <f t="shared" si="9"/>
        <v>0</v>
      </c>
      <c r="AA29" s="113" t="str">
        <f t="shared" si="10"/>
        <v>Leve</v>
      </c>
      <c r="AB29" s="111">
        <f t="shared" si="11"/>
        <v>0</v>
      </c>
      <c r="AC29" s="114" t="str">
        <f t="shared" si="12"/>
        <v>Bajo</v>
      </c>
      <c r="AD29" s="130"/>
      <c r="AE29" s="108" t="s">
        <v>192</v>
      </c>
      <c r="AF29" s="107"/>
      <c r="AG29" s="107"/>
      <c r="AH29" s="109"/>
      <c r="AI29" s="109"/>
      <c r="AJ29" s="107"/>
      <c r="AK29" s="106"/>
    </row>
    <row r="30" spans="1:37" ht="86.25" x14ac:dyDescent="0.2">
      <c r="A30" s="134">
        <v>3</v>
      </c>
      <c r="B30" s="131" t="s">
        <v>197</v>
      </c>
      <c r="C30" s="131" t="s">
        <v>250</v>
      </c>
      <c r="D30" s="131" t="s">
        <v>251</v>
      </c>
      <c r="E30" s="131" t="s">
        <v>252</v>
      </c>
      <c r="F30" s="131" t="s">
        <v>203</v>
      </c>
      <c r="G30" s="134">
        <v>300</v>
      </c>
      <c r="H30" s="137" t="str">
        <f t="shared" ref="H30" si="18">IF(G30&lt;=0,"",IF(G30&lt;=2,"Muy Baja",IF(G30&lt;=24,"Baja",IF(G30&lt;=500,"Media",IF(G30&lt;=5000,"Alta","Muy Alta")))))</f>
        <v>Media</v>
      </c>
      <c r="I30" s="140">
        <f t="shared" ref="I30" si="19">IF(H30="","",IF(H30="Muy Baja",0.2,IF(H30="Baja",0.4,IF(H30="Media",0.6,IF(H30="Alta",0.8,IF(H30="Muy Alta",1,))))))</f>
        <v>0.6</v>
      </c>
      <c r="J30" s="143" t="s">
        <v>149</v>
      </c>
      <c r="K30" s="140" t="str">
        <f>IF(NOT(ISERROR(MATCH(J30,'[1]Tabla Impacto'!$B$221:$B$223,0))),'[1]Tabla Impacto'!$F$223&amp;"Por favor no seleccionar los criterios de impacto(Afectación Económica o presupuestal y Pérdida Reputacional)",J30)</f>
        <v xml:space="preserve">     El riesgo afecta la imagen de la entidad internamente, de conocimiento general, nivel interno, de junta dircetiva y accionistas y/o de provedores</v>
      </c>
      <c r="L30" s="137" t="str">
        <f>IF(OR(K30='[1]Tabla Impacto'!$C$11,K30='[1]Tabla Impacto'!$D$11),"Leve",IF(OR(K30='[1]Tabla Impacto'!$C$12,K30='[1]Tabla Impacto'!$D$12),"Menor",IF(OR(K30='[1]Tabla Impacto'!$C$13,K30='[1]Tabla Impacto'!$D$13),"Moderado",IF(OR(K30='[1]Tabla Impacto'!$C$14,K30='[1]Tabla Impacto'!$D$14),"Mayor",IF(OR(K30='[1]Tabla Impacto'!$C$15,K30='[1]Tabla Impacto'!$D$15),"Catastrófico","")))))</f>
        <v>Menor</v>
      </c>
      <c r="M30" s="140">
        <f t="shared" ref="M30" si="20">IF(L30="","",IF(L30="Leve",0.2,IF(L30="Menor",0.4,IF(L30="Moderado",0.6,IF(L30="Mayor",0.8,IF(L30="Catastrófico",1,))))))</f>
        <v>0.4</v>
      </c>
      <c r="N30" s="146" t="str">
        <f t="shared" ref="N30" si="21">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106">
        <v>8</v>
      </c>
      <c r="P30" s="124" t="s">
        <v>270</v>
      </c>
      <c r="Q30" s="110" t="str">
        <f t="shared" si="0"/>
        <v>Probabilidad</v>
      </c>
      <c r="R30" s="108" t="s">
        <v>169</v>
      </c>
      <c r="S30" s="108" t="s">
        <v>175</v>
      </c>
      <c r="T30" s="111" t="str">
        <f t="shared" si="6"/>
        <v>30%</v>
      </c>
      <c r="U30" s="121" t="s">
        <v>178</v>
      </c>
      <c r="V30" s="121" t="s">
        <v>183</v>
      </c>
      <c r="W30" s="121" t="s">
        <v>187</v>
      </c>
      <c r="X30" s="112">
        <f t="shared" si="7"/>
        <v>0.42</v>
      </c>
      <c r="Y30" s="113" t="str">
        <f t="shared" si="8"/>
        <v>Media</v>
      </c>
      <c r="Z30" s="111">
        <f t="shared" si="9"/>
        <v>0.42</v>
      </c>
      <c r="AA30" s="113" t="str">
        <f t="shared" si="10"/>
        <v>Menor</v>
      </c>
      <c r="AB30" s="111">
        <f t="shared" si="11"/>
        <v>0.4</v>
      </c>
      <c r="AC30" s="114" t="str">
        <f t="shared" si="12"/>
        <v>Moderado</v>
      </c>
      <c r="AD30" s="128" t="b">
        <f t="shared" ref="AD30" si="22">IFERROR(IF(OR(AND(AC30="Bajo",AC31="Bajo",AC32="Bajo"),AND(AC30="Bajo",AC31="Bajo",AC32=""),AND(AC30="Bajo",AC31="",AC32="")),"Bajo",IF(OR(AND(AC30="Bajo",AC31="Bajo",AC32="Moderado"),AND(AC30="Bajo",AC31="Moderado",AC32="Moderado"),AND(AC30="Moderado",AC31="Moderado",AC32="Moderado"),AND(AC30="Bajo",AC31="Moderado",AC32=""),AND(AC30="Moderado",AC31="Bajo",AC32=""),AND(AC30="Moderado",AC31="Moderado",AC32=""),AND(AC30="Moderado",AC31="",AC32="")),"Moderado",IF(OR(AND(AC30="Bajo",AC31="Bajo",AC32="Alto"),AND(AC30="Bajo",AC31="Moderado",AC32="Alto"),AND(AC30="Moderado",AC31="Bajo",AC32="Alto"),AND(AC30="Moderado",AC31="Alto",AC32="Bajo"),AND(AC30="Moderado",AC31="Moderado",AC32="Alto"),AND(AC30="Alto",AC31="Bajo",AC32="Bajo"),AND(AC30="Alto",AC31="Moderado",AC32="Bajo"),AND(AC30="Alto",AC31="Moderado",AC32="Moderado"),AND(AC30="Alto",AC31="Alto",AC32="Bajo"),AND(AC30="Alto",AC31="Alto",AC32="Moderado"),AND(AC30="Alto",AC31="Alto",AC32="Alto"),AND(AC30="Alto",AC31="Bajo",AC32=""),AND(AC30="Alto",AC31="Moderado",AC32=""),AND(AC30="Alto",AC31="Alto",AC32=""),AND(AC30="Bajo",AC31="Alto",AC32=""),AND(AC30="Moderado",AC31="Alto",AC32=""),AND(AC30="Alto",AC31="",AC32="")),"Alto",IF(OR(AND(AC30="Bajo",AC31="Bajo",AC32="Extremo"),AND(AC30="Bajo",AC31="Moderado",AC32="Extremo"),AND(AC30="Bajo",AC31="Alto",AC32="Extremo"),AND(AC30="Moderado",AC31="Bajo",AC32="Extremo"),AND(AC30="Moderado",AC31="Alto",AC32="Extremo"),AND(AC30="Moderado",AC31="Moderado",AC32="Extremo"),AND(AC30="Alto",AC31="Bajo",AC32="Extremo"),AND(AC30="Alto",AC31="Moderado",AC32="Extremo"),AND(AC30="Alto",AC31="Alto",AC32="Extremo"),AND(AC30="Extremo",AC31="Bajo",AC32="Bajo"),AND(AC30="Extremo",AC31="Bajo",AC32="Moderado"),AND(AC30="Extremo",AC31="Bajo",AC32="Alto"),AND(AC30="Extremo",AC31="Moderado",AC32="Bajo"),AND(AC30="Extremo",AC31="Moderado",AC32="Moderado"),AND(AC30="Extremo",AC31="Moderado",AC32="Alto"),AND(AC30="Extremo",AC31="Alto",AC32="Bajo"),AND(AC30="Extremo",AC31="Alto",AC32="Moderado"),AND(AC30="Extremo",AC31="Alto",AC32="Alto"),AND(AC30="Extremo",AC31="Extremo",AC32="Bajo"),AND(AC30="Extremo",AC31="Extremo",AC32="Moderado"),AND(AC30="Extremo",AC31="Extremo",AC32="Alto"),AND(AC30="Extremo",AC31="Extremo",AC32="Extremo"),AND(AC30="Extremo",AC31="Bajo",AC32=""),AND(AC30="Extremo",AC31="Moderado",AC32=""),AND(AC30="Extremo",AC31="Alto",AC32=""),AND(AC30="Extremo",AC31="",AC32="")),"Extremo")))),"")</f>
        <v>0</v>
      </c>
      <c r="AE30" s="125" t="s">
        <v>192</v>
      </c>
      <c r="AF30" s="107"/>
      <c r="AG30" s="107"/>
      <c r="AH30" s="109"/>
      <c r="AI30" s="109"/>
      <c r="AJ30" s="107"/>
      <c r="AK30" s="106"/>
    </row>
    <row r="31" spans="1:37" ht="86.25" x14ac:dyDescent="0.2">
      <c r="A31" s="135"/>
      <c r="B31" s="132"/>
      <c r="C31" s="132"/>
      <c r="D31" s="132"/>
      <c r="E31" s="132"/>
      <c r="F31" s="132"/>
      <c r="G31" s="135"/>
      <c r="H31" s="138"/>
      <c r="I31" s="141"/>
      <c r="J31" s="144"/>
      <c r="K31" s="141"/>
      <c r="L31" s="138"/>
      <c r="M31" s="141"/>
      <c r="N31" s="147"/>
      <c r="O31" s="106">
        <v>1</v>
      </c>
      <c r="P31" s="124" t="s">
        <v>271</v>
      </c>
      <c r="Q31" s="110" t="str">
        <f t="shared" si="0"/>
        <v>Probabilidad</v>
      </c>
      <c r="R31" s="108" t="s">
        <v>169</v>
      </c>
      <c r="S31" s="108" t="s">
        <v>175</v>
      </c>
      <c r="T31" s="111" t="str">
        <f t="shared" si="6"/>
        <v>30%</v>
      </c>
      <c r="U31" s="121" t="s">
        <v>178</v>
      </c>
      <c r="V31" s="121" t="s">
        <v>183</v>
      </c>
      <c r="W31" s="121" t="s">
        <v>187</v>
      </c>
      <c r="X31" s="112">
        <f t="shared" si="7"/>
        <v>0</v>
      </c>
      <c r="Y31" s="113" t="str">
        <f t="shared" si="8"/>
        <v>Muy Baja</v>
      </c>
      <c r="Z31" s="111">
        <f t="shared" si="9"/>
        <v>0</v>
      </c>
      <c r="AA31" s="113" t="str">
        <f t="shared" si="10"/>
        <v>Leve</v>
      </c>
      <c r="AB31" s="111">
        <f t="shared" si="11"/>
        <v>0</v>
      </c>
      <c r="AC31" s="114" t="str">
        <f t="shared" si="12"/>
        <v>Bajo</v>
      </c>
      <c r="AD31" s="129"/>
      <c r="AE31" s="126"/>
      <c r="AF31" s="107"/>
      <c r="AG31" s="107"/>
      <c r="AH31" s="109"/>
      <c r="AI31" s="109"/>
      <c r="AJ31" s="107"/>
      <c r="AK31" s="106"/>
    </row>
    <row r="32" spans="1:37" ht="86.25" x14ac:dyDescent="0.2">
      <c r="A32" s="135"/>
      <c r="B32" s="132"/>
      <c r="C32" s="132"/>
      <c r="D32" s="132"/>
      <c r="E32" s="132"/>
      <c r="F32" s="132"/>
      <c r="G32" s="135"/>
      <c r="H32" s="138"/>
      <c r="I32" s="141"/>
      <c r="J32" s="144"/>
      <c r="K32" s="141"/>
      <c r="L32" s="138"/>
      <c r="M32" s="141"/>
      <c r="N32" s="147"/>
      <c r="O32" s="106">
        <v>2</v>
      </c>
      <c r="P32" s="124" t="s">
        <v>272</v>
      </c>
      <c r="Q32" s="110" t="str">
        <f t="shared" si="0"/>
        <v>Probabilidad</v>
      </c>
      <c r="R32" s="108" t="s">
        <v>169</v>
      </c>
      <c r="S32" s="108" t="s">
        <v>175</v>
      </c>
      <c r="T32" s="111" t="str">
        <f t="shared" si="6"/>
        <v>30%</v>
      </c>
      <c r="U32" s="121" t="s">
        <v>178</v>
      </c>
      <c r="V32" s="121" t="s">
        <v>183</v>
      </c>
      <c r="W32" s="121" t="s">
        <v>187</v>
      </c>
      <c r="X32" s="112">
        <f t="shared" si="7"/>
        <v>0</v>
      </c>
      <c r="Y32" s="113" t="str">
        <f t="shared" si="8"/>
        <v>Muy Baja</v>
      </c>
      <c r="Z32" s="111">
        <f t="shared" si="9"/>
        <v>0</v>
      </c>
      <c r="AA32" s="113" t="str">
        <f t="shared" si="10"/>
        <v>Leve</v>
      </c>
      <c r="AB32" s="111">
        <f t="shared" si="11"/>
        <v>0</v>
      </c>
      <c r="AC32" s="114" t="str">
        <f t="shared" si="12"/>
        <v>Bajo</v>
      </c>
      <c r="AD32" s="129"/>
      <c r="AE32" s="127"/>
      <c r="AF32" s="107"/>
      <c r="AG32" s="107"/>
      <c r="AH32" s="109"/>
      <c r="AI32" s="109"/>
      <c r="AJ32" s="107"/>
      <c r="AK32" s="106"/>
    </row>
    <row r="33" spans="1:37" ht="86.25" x14ac:dyDescent="0.2">
      <c r="A33" s="135"/>
      <c r="B33" s="132"/>
      <c r="C33" s="132"/>
      <c r="D33" s="132"/>
      <c r="E33" s="132"/>
      <c r="F33" s="132"/>
      <c r="G33" s="135"/>
      <c r="H33" s="138"/>
      <c r="I33" s="141"/>
      <c r="J33" s="144"/>
      <c r="K33" s="141"/>
      <c r="L33" s="138"/>
      <c r="M33" s="141"/>
      <c r="N33" s="147"/>
      <c r="O33" s="106">
        <v>3</v>
      </c>
      <c r="P33" s="124" t="s">
        <v>273</v>
      </c>
      <c r="Q33" s="110" t="str">
        <f t="shared" si="0"/>
        <v>Probabilidad</v>
      </c>
      <c r="R33" s="108" t="s">
        <v>169</v>
      </c>
      <c r="S33" s="108" t="s">
        <v>175</v>
      </c>
      <c r="T33" s="111" t="str">
        <f t="shared" si="6"/>
        <v>30%</v>
      </c>
      <c r="U33" s="121" t="s">
        <v>178</v>
      </c>
      <c r="V33" s="121" t="s">
        <v>183</v>
      </c>
      <c r="W33" s="121" t="s">
        <v>187</v>
      </c>
      <c r="X33" s="112">
        <f t="shared" si="7"/>
        <v>0</v>
      </c>
      <c r="Y33" s="113" t="str">
        <f t="shared" si="8"/>
        <v>Muy Baja</v>
      </c>
      <c r="Z33" s="111">
        <f t="shared" si="9"/>
        <v>0</v>
      </c>
      <c r="AA33" s="113" t="str">
        <f t="shared" si="10"/>
        <v>Leve</v>
      </c>
      <c r="AB33" s="111">
        <f t="shared" si="11"/>
        <v>0</v>
      </c>
      <c r="AC33" s="114" t="str">
        <f t="shared" si="12"/>
        <v>Bajo</v>
      </c>
      <c r="AD33" s="129"/>
      <c r="AE33" s="108" t="s">
        <v>192</v>
      </c>
      <c r="AF33" s="107"/>
      <c r="AG33" s="107"/>
      <c r="AH33" s="109"/>
      <c r="AI33" s="109"/>
      <c r="AJ33" s="107"/>
      <c r="AK33" s="106"/>
    </row>
    <row r="34" spans="1:37" ht="86.25" x14ac:dyDescent="0.2">
      <c r="A34" s="135"/>
      <c r="B34" s="132"/>
      <c r="C34" s="132"/>
      <c r="D34" s="132"/>
      <c r="E34" s="132"/>
      <c r="F34" s="132"/>
      <c r="G34" s="135"/>
      <c r="H34" s="138"/>
      <c r="I34" s="141"/>
      <c r="J34" s="144"/>
      <c r="K34" s="141"/>
      <c r="L34" s="138"/>
      <c r="M34" s="141"/>
      <c r="N34" s="147"/>
      <c r="O34" s="106">
        <v>4</v>
      </c>
      <c r="P34" s="124" t="s">
        <v>274</v>
      </c>
      <c r="Q34" s="110" t="str">
        <f t="shared" si="0"/>
        <v>Probabilidad</v>
      </c>
      <c r="R34" s="108" t="s">
        <v>169</v>
      </c>
      <c r="S34" s="108" t="s">
        <v>175</v>
      </c>
      <c r="T34" s="111" t="str">
        <f t="shared" si="6"/>
        <v>30%</v>
      </c>
      <c r="U34" s="121" t="s">
        <v>178</v>
      </c>
      <c r="V34" s="121" t="s">
        <v>183</v>
      </c>
      <c r="W34" s="121" t="s">
        <v>187</v>
      </c>
      <c r="X34" s="112">
        <f t="shared" si="7"/>
        <v>0</v>
      </c>
      <c r="Y34" s="113" t="str">
        <f t="shared" si="8"/>
        <v>Muy Baja</v>
      </c>
      <c r="Z34" s="111">
        <f t="shared" si="9"/>
        <v>0</v>
      </c>
      <c r="AA34" s="113" t="str">
        <f t="shared" si="10"/>
        <v>Leve</v>
      </c>
      <c r="AB34" s="111">
        <f t="shared" si="11"/>
        <v>0</v>
      </c>
      <c r="AC34" s="114" t="str">
        <f t="shared" si="12"/>
        <v>Bajo</v>
      </c>
      <c r="AD34" s="129"/>
      <c r="AE34" s="108" t="s">
        <v>192</v>
      </c>
      <c r="AF34" s="107"/>
      <c r="AG34" s="107"/>
      <c r="AH34" s="109"/>
      <c r="AI34" s="109"/>
      <c r="AJ34" s="107"/>
      <c r="AK34" s="106"/>
    </row>
    <row r="35" spans="1:37" ht="86.25" x14ac:dyDescent="0.2">
      <c r="A35" s="135"/>
      <c r="B35" s="132"/>
      <c r="C35" s="132"/>
      <c r="D35" s="132"/>
      <c r="E35" s="132"/>
      <c r="F35" s="132"/>
      <c r="G35" s="135"/>
      <c r="H35" s="138"/>
      <c r="I35" s="141"/>
      <c r="J35" s="144"/>
      <c r="K35" s="141"/>
      <c r="L35" s="138"/>
      <c r="M35" s="141"/>
      <c r="N35" s="147"/>
      <c r="O35" s="106">
        <v>5</v>
      </c>
      <c r="P35" s="124" t="s">
        <v>275</v>
      </c>
      <c r="Q35" s="110" t="str">
        <f t="shared" si="0"/>
        <v>Probabilidad</v>
      </c>
      <c r="R35" s="108" t="s">
        <v>169</v>
      </c>
      <c r="S35" s="108" t="s">
        <v>175</v>
      </c>
      <c r="T35" s="111" t="str">
        <f t="shared" si="6"/>
        <v>30%</v>
      </c>
      <c r="U35" s="121" t="s">
        <v>178</v>
      </c>
      <c r="V35" s="121" t="s">
        <v>183</v>
      </c>
      <c r="W35" s="121" t="s">
        <v>187</v>
      </c>
      <c r="X35" s="112">
        <f t="shared" si="7"/>
        <v>0</v>
      </c>
      <c r="Y35" s="113" t="str">
        <f t="shared" si="8"/>
        <v>Muy Baja</v>
      </c>
      <c r="Z35" s="111">
        <f t="shared" si="9"/>
        <v>0</v>
      </c>
      <c r="AA35" s="113" t="str">
        <f t="shared" si="10"/>
        <v>Leve</v>
      </c>
      <c r="AB35" s="111">
        <f t="shared" si="11"/>
        <v>0</v>
      </c>
      <c r="AC35" s="114" t="str">
        <f t="shared" si="12"/>
        <v>Bajo</v>
      </c>
      <c r="AD35" s="129"/>
      <c r="AE35" s="108" t="s">
        <v>192</v>
      </c>
      <c r="AF35" s="107"/>
      <c r="AG35" s="107"/>
      <c r="AH35" s="109"/>
      <c r="AI35" s="109"/>
      <c r="AJ35" s="107"/>
      <c r="AK35" s="106"/>
    </row>
    <row r="36" spans="1:37" x14ac:dyDescent="0.2">
      <c r="A36" s="136"/>
      <c r="B36" s="133"/>
      <c r="C36" s="133"/>
      <c r="D36" s="133"/>
      <c r="E36" s="133"/>
      <c r="F36" s="133"/>
      <c r="G36" s="136"/>
      <c r="H36" s="139"/>
      <c r="I36" s="142"/>
      <c r="J36" s="145"/>
      <c r="K36" s="142"/>
      <c r="L36" s="139"/>
      <c r="M36" s="142"/>
      <c r="N36" s="148"/>
      <c r="O36" s="106">
        <v>6</v>
      </c>
      <c r="P36" s="120"/>
      <c r="Q36" s="110" t="str">
        <f t="shared" si="0"/>
        <v/>
      </c>
      <c r="R36" s="108"/>
      <c r="S36" s="108"/>
      <c r="T36" s="111" t="str">
        <f t="shared" si="6"/>
        <v/>
      </c>
      <c r="U36" s="121"/>
      <c r="V36" s="121"/>
      <c r="W36" s="121"/>
      <c r="X36" s="112" t="str">
        <f t="shared" si="7"/>
        <v/>
      </c>
      <c r="Y36" s="113" t="str">
        <f t="shared" si="8"/>
        <v/>
      </c>
      <c r="Z36" s="111" t="str">
        <f t="shared" si="9"/>
        <v/>
      </c>
      <c r="AA36" s="113" t="str">
        <f t="shared" si="10"/>
        <v/>
      </c>
      <c r="AB36" s="111" t="str">
        <f t="shared" si="11"/>
        <v/>
      </c>
      <c r="AC36" s="114" t="str">
        <f t="shared" si="12"/>
        <v/>
      </c>
      <c r="AD36" s="130"/>
      <c r="AE36" s="108"/>
      <c r="AF36" s="107"/>
      <c r="AG36" s="107"/>
      <c r="AH36" s="109"/>
      <c r="AI36" s="109"/>
      <c r="AJ36" s="107"/>
      <c r="AK36" s="106"/>
    </row>
    <row r="37" spans="1:37" ht="86.25" x14ac:dyDescent="0.2">
      <c r="A37" s="134">
        <v>4</v>
      </c>
      <c r="B37" s="131" t="s">
        <v>197</v>
      </c>
      <c r="C37" s="131" t="s">
        <v>253</v>
      </c>
      <c r="D37" s="131" t="s">
        <v>254</v>
      </c>
      <c r="E37" s="131" t="s">
        <v>255</v>
      </c>
      <c r="F37" s="131" t="s">
        <v>203</v>
      </c>
      <c r="G37" s="134">
        <v>3500</v>
      </c>
      <c r="H37" s="137" t="str">
        <f t="shared" ref="H37" si="23">IF(G37&lt;=0,"",IF(G37&lt;=2,"Muy Baja",IF(G37&lt;=24,"Baja",IF(G37&lt;=500,"Media",IF(G37&lt;=5000,"Alta","Muy Alta")))))</f>
        <v>Alta</v>
      </c>
      <c r="I37" s="140">
        <f t="shared" ref="I37" si="24">IF(H37="","",IF(H37="Muy Baja",0.2,IF(H37="Baja",0.4,IF(H37="Media",0.6,IF(H37="Alta",0.8,IF(H37="Muy Alta",1,))))))</f>
        <v>0.8</v>
      </c>
      <c r="J37" s="143" t="s">
        <v>149</v>
      </c>
      <c r="K37" s="140" t="str">
        <f>IF(NOT(ISERROR(MATCH(J37,'[1]Tabla Impacto'!$B$221:$B$223,0))),'[1]Tabla Impacto'!$F$223&amp;"Por favor no seleccionar los criterios de impacto(Afectación Económica o presupuestal y Pérdida Reputacional)",J37)</f>
        <v xml:space="preserve">     El riesgo afecta la imagen de la entidad internamente, de conocimiento general, nivel interno, de junta dircetiva y accionistas y/o de provedores</v>
      </c>
      <c r="L37" s="137" t="str">
        <f>IF(OR(K37='[1]Tabla Impacto'!$C$11,K37='[1]Tabla Impacto'!$D$11),"Leve",IF(OR(K37='[1]Tabla Impacto'!$C$12,K37='[1]Tabla Impacto'!$D$12),"Menor",IF(OR(K37='[1]Tabla Impacto'!$C$13,K37='[1]Tabla Impacto'!$D$13),"Moderado",IF(OR(K37='[1]Tabla Impacto'!$C$14,K37='[1]Tabla Impacto'!$D$14),"Mayor",IF(OR(K37='[1]Tabla Impacto'!$C$15,K37='[1]Tabla Impacto'!$D$15),"Catastrófico","")))))</f>
        <v>Menor</v>
      </c>
      <c r="M37" s="140">
        <f t="shared" ref="M37" si="25">IF(L37="","",IF(L37="Leve",0.2,IF(L37="Menor",0.4,IF(L37="Moderado",0.6,IF(L37="Mayor",0.8,IF(L37="Catastrófico",1,))))))</f>
        <v>0.4</v>
      </c>
      <c r="N37" s="146" t="str">
        <f t="shared" ref="N37" si="26">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Moderado</v>
      </c>
      <c r="O37" s="106">
        <v>1</v>
      </c>
      <c r="P37" s="124" t="s">
        <v>276</v>
      </c>
      <c r="Q37" s="110" t="str">
        <f t="shared" si="0"/>
        <v>Probabilidad</v>
      </c>
      <c r="R37" s="108" t="s">
        <v>169</v>
      </c>
      <c r="S37" s="108" t="s">
        <v>175</v>
      </c>
      <c r="T37" s="111" t="str">
        <f t="shared" si="6"/>
        <v>30%</v>
      </c>
      <c r="U37" s="121" t="s">
        <v>178</v>
      </c>
      <c r="V37" s="121" t="s">
        <v>183</v>
      </c>
      <c r="W37" s="121" t="s">
        <v>187</v>
      </c>
      <c r="X37" s="112">
        <f t="shared" si="7"/>
        <v>0.56000000000000005</v>
      </c>
      <c r="Y37" s="113" t="str">
        <f t="shared" si="8"/>
        <v>Media</v>
      </c>
      <c r="Z37" s="111">
        <f t="shared" si="9"/>
        <v>0.56000000000000005</v>
      </c>
      <c r="AA37" s="113" t="str">
        <f t="shared" si="10"/>
        <v>Menor</v>
      </c>
      <c r="AB37" s="111">
        <f t="shared" si="11"/>
        <v>0.4</v>
      </c>
      <c r="AC37" s="114" t="str">
        <f t="shared" si="12"/>
        <v>Moderado</v>
      </c>
      <c r="AD37" s="128" t="b">
        <f t="shared" ref="AD37" si="27">IFERROR(IF(OR(AND(AC37="Bajo",AC38="Bajo",AC39="Bajo"),AND(AC37="Bajo",AC38="Bajo",AC39=""),AND(AC37="Bajo",AC38="",AC39="")),"Bajo",IF(OR(AND(AC37="Bajo",AC38="Bajo",AC39="Moderado"),AND(AC37="Bajo",AC38="Moderado",AC39="Moderado"),AND(AC37="Moderado",AC38="Moderado",AC39="Moderado"),AND(AC37="Bajo",AC38="Moderado",AC39=""),AND(AC37="Moderado",AC38="Bajo",AC39=""),AND(AC37="Moderado",AC38="Moderado",AC39=""),AND(AC37="Moderado",AC38="",AC39="")),"Moderado",IF(OR(AND(AC37="Bajo",AC38="Bajo",AC39="Alto"),AND(AC37="Bajo",AC38="Moderado",AC39="Alto"),AND(AC37="Moderado",AC38="Bajo",AC39="Alto"),AND(AC37="Moderado",AC38="Alto",AC39="Bajo"),AND(AC37="Moderado",AC38="Moderado",AC39="Alto"),AND(AC37="Alto",AC38="Bajo",AC39="Bajo"),AND(AC37="Alto",AC38="Moderado",AC39="Bajo"),AND(AC37="Alto",AC38="Moderado",AC39="Moderado"),AND(AC37="Alto",AC38="Alto",AC39="Bajo"),AND(AC37="Alto",AC38="Alto",AC39="Moderado"),AND(AC37="Alto",AC38="Alto",AC39="Alto"),AND(AC37="Alto",AC38="Bajo",AC39=""),AND(AC37="Alto",AC38="Moderado",AC39=""),AND(AC37="Alto",AC38="Alto",AC39=""),AND(AC37="Bajo",AC38="Alto",AC39=""),AND(AC37="Moderado",AC38="Alto",AC39=""),AND(AC37="Alto",AC38="",AC39="")),"Alto",IF(OR(AND(AC37="Bajo",AC38="Bajo",AC39="Extremo"),AND(AC37="Bajo",AC38="Moderado",AC39="Extremo"),AND(AC37="Bajo",AC38="Alto",AC39="Extremo"),AND(AC37="Moderado",AC38="Bajo",AC39="Extremo"),AND(AC37="Moderado",AC38="Alto",AC39="Extremo"),AND(AC37="Moderado",AC38="Moderado",AC39="Extremo"),AND(AC37="Alto",AC38="Bajo",AC39="Extremo"),AND(AC37="Alto",AC38="Moderado",AC39="Extremo"),AND(AC37="Alto",AC38="Alto",AC39="Extremo"),AND(AC37="Extremo",AC38="Bajo",AC39="Bajo"),AND(AC37="Extremo",AC38="Bajo",AC39="Moderado"),AND(AC37="Extremo",AC38="Bajo",AC39="Alto"),AND(AC37="Extremo",AC38="Moderado",AC39="Bajo"),AND(AC37="Extremo",AC38="Moderado",AC39="Moderado"),AND(AC37="Extremo",AC38="Moderado",AC39="Alto"),AND(AC37="Extremo",AC38="Alto",AC39="Bajo"),AND(AC37="Extremo",AC38="Alto",AC39="Moderado"),AND(AC37="Extremo",AC38="Alto",AC39="Alto"),AND(AC37="Extremo",AC38="Extremo",AC39="Bajo"),AND(AC37="Extremo",AC38="Extremo",AC39="Moderado"),AND(AC37="Extremo",AC38="Extremo",AC39="Alto"),AND(AC37="Extremo",AC38="Extremo",AC39="Extremo"),AND(AC37="Extremo",AC38="Bajo",AC39=""),AND(AC37="Extremo",AC38="Moderado",AC39=""),AND(AC37="Extremo",AC38="Alto",AC39=""),AND(AC37="Extremo",AC38="",AC39="")),"Extremo")))),"")</f>
        <v>0</v>
      </c>
      <c r="AE37" s="125" t="s">
        <v>192</v>
      </c>
      <c r="AF37" s="107"/>
      <c r="AG37" s="107"/>
      <c r="AH37" s="109"/>
      <c r="AI37" s="109"/>
      <c r="AJ37" s="107"/>
      <c r="AK37" s="106"/>
    </row>
    <row r="38" spans="1:37" ht="86.25" x14ac:dyDescent="0.2">
      <c r="A38" s="135"/>
      <c r="B38" s="132"/>
      <c r="C38" s="132"/>
      <c r="D38" s="132"/>
      <c r="E38" s="132"/>
      <c r="F38" s="132"/>
      <c r="G38" s="135"/>
      <c r="H38" s="138"/>
      <c r="I38" s="141"/>
      <c r="J38" s="144"/>
      <c r="K38" s="141"/>
      <c r="L38" s="138"/>
      <c r="M38" s="141"/>
      <c r="N38" s="147"/>
      <c r="O38" s="106">
        <v>2</v>
      </c>
      <c r="P38" s="124" t="s">
        <v>277</v>
      </c>
      <c r="Q38" s="110" t="str">
        <f t="shared" si="0"/>
        <v>Probabilidad</v>
      </c>
      <c r="R38" s="108" t="s">
        <v>169</v>
      </c>
      <c r="S38" s="108" t="s">
        <v>175</v>
      </c>
      <c r="T38" s="111" t="str">
        <f t="shared" si="6"/>
        <v>30%</v>
      </c>
      <c r="U38" s="121" t="s">
        <v>178</v>
      </c>
      <c r="V38" s="121" t="s">
        <v>183</v>
      </c>
      <c r="W38" s="121" t="s">
        <v>187</v>
      </c>
      <c r="X38" s="112">
        <f t="shared" si="7"/>
        <v>0</v>
      </c>
      <c r="Y38" s="113" t="str">
        <f t="shared" si="8"/>
        <v>Muy Baja</v>
      </c>
      <c r="Z38" s="111">
        <f t="shared" si="9"/>
        <v>0</v>
      </c>
      <c r="AA38" s="113" t="str">
        <f t="shared" si="10"/>
        <v>Leve</v>
      </c>
      <c r="AB38" s="111">
        <f t="shared" si="11"/>
        <v>0</v>
      </c>
      <c r="AC38" s="114" t="str">
        <f t="shared" si="12"/>
        <v>Bajo</v>
      </c>
      <c r="AD38" s="129"/>
      <c r="AE38" s="126"/>
      <c r="AF38" s="107"/>
      <c r="AG38" s="107"/>
      <c r="AH38" s="109"/>
      <c r="AI38" s="109"/>
      <c r="AJ38" s="107"/>
      <c r="AK38" s="106"/>
    </row>
    <row r="39" spans="1:37" ht="86.25" x14ac:dyDescent="0.2">
      <c r="A39" s="135"/>
      <c r="B39" s="132"/>
      <c r="C39" s="132"/>
      <c r="D39" s="132"/>
      <c r="E39" s="132"/>
      <c r="F39" s="132"/>
      <c r="G39" s="135"/>
      <c r="H39" s="138"/>
      <c r="I39" s="141"/>
      <c r="J39" s="144"/>
      <c r="K39" s="141"/>
      <c r="L39" s="138"/>
      <c r="M39" s="141"/>
      <c r="N39" s="147"/>
      <c r="O39" s="106">
        <v>3</v>
      </c>
      <c r="P39" s="124" t="s">
        <v>278</v>
      </c>
      <c r="Q39" s="110" t="str">
        <f t="shared" si="0"/>
        <v>Probabilidad</v>
      </c>
      <c r="R39" s="108" t="s">
        <v>169</v>
      </c>
      <c r="S39" s="108" t="s">
        <v>175</v>
      </c>
      <c r="T39" s="111" t="str">
        <f t="shared" si="6"/>
        <v>30%</v>
      </c>
      <c r="U39" s="121" t="s">
        <v>178</v>
      </c>
      <c r="V39" s="121" t="s">
        <v>183</v>
      </c>
      <c r="W39" s="121" t="s">
        <v>187</v>
      </c>
      <c r="X39" s="112">
        <f t="shared" si="7"/>
        <v>0</v>
      </c>
      <c r="Y39" s="113" t="str">
        <f t="shared" si="8"/>
        <v>Muy Baja</v>
      </c>
      <c r="Z39" s="111">
        <f t="shared" si="9"/>
        <v>0</v>
      </c>
      <c r="AA39" s="113" t="str">
        <f t="shared" si="10"/>
        <v>Leve</v>
      </c>
      <c r="AB39" s="111">
        <f t="shared" si="11"/>
        <v>0</v>
      </c>
      <c r="AC39" s="114" t="str">
        <f t="shared" si="12"/>
        <v>Bajo</v>
      </c>
      <c r="AD39" s="129"/>
      <c r="AE39" s="127"/>
      <c r="AF39" s="107"/>
      <c r="AG39" s="107"/>
      <c r="AH39" s="109"/>
      <c r="AI39" s="109"/>
      <c r="AJ39" s="107"/>
      <c r="AK39" s="106"/>
    </row>
    <row r="40" spans="1:37" ht="16.5" customHeight="1" x14ac:dyDescent="0.2">
      <c r="A40" s="135"/>
      <c r="B40" s="132"/>
      <c r="C40" s="132"/>
      <c r="D40" s="132"/>
      <c r="E40" s="132"/>
      <c r="F40" s="132"/>
      <c r="G40" s="135"/>
      <c r="H40" s="138"/>
      <c r="I40" s="141"/>
      <c r="J40" s="144"/>
      <c r="K40" s="141"/>
      <c r="L40" s="138"/>
      <c r="M40" s="141"/>
      <c r="N40" s="147"/>
      <c r="O40" s="106">
        <v>4</v>
      </c>
      <c r="P40" s="120"/>
      <c r="Q40" s="110" t="str">
        <f t="shared" si="0"/>
        <v/>
      </c>
      <c r="R40" s="108"/>
      <c r="S40" s="108"/>
      <c r="T40" s="111" t="str">
        <f t="shared" si="6"/>
        <v/>
      </c>
      <c r="U40" s="121"/>
      <c r="V40" s="121"/>
      <c r="W40" s="121"/>
      <c r="X40" s="112" t="str">
        <f t="shared" si="7"/>
        <v/>
      </c>
      <c r="Y40" s="113" t="str">
        <f t="shared" si="8"/>
        <v/>
      </c>
      <c r="Z40" s="111" t="str">
        <f t="shared" si="9"/>
        <v/>
      </c>
      <c r="AA40" s="113" t="str">
        <f t="shared" si="10"/>
        <v/>
      </c>
      <c r="AB40" s="111" t="str">
        <f t="shared" si="11"/>
        <v/>
      </c>
      <c r="AC40" s="114" t="str">
        <f t="shared" si="12"/>
        <v/>
      </c>
      <c r="AD40" s="129"/>
      <c r="AE40" s="108"/>
      <c r="AF40" s="107"/>
      <c r="AG40" s="107"/>
      <c r="AH40" s="109"/>
      <c r="AI40" s="109"/>
      <c r="AJ40" s="107"/>
      <c r="AK40" s="106"/>
    </row>
    <row r="41" spans="1:37" ht="16.5" customHeight="1" x14ac:dyDescent="0.2">
      <c r="A41" s="135"/>
      <c r="B41" s="132"/>
      <c r="C41" s="132"/>
      <c r="D41" s="132"/>
      <c r="E41" s="132"/>
      <c r="F41" s="132"/>
      <c r="G41" s="135"/>
      <c r="H41" s="138"/>
      <c r="I41" s="141"/>
      <c r="J41" s="144"/>
      <c r="K41" s="141"/>
      <c r="L41" s="138"/>
      <c r="M41" s="141"/>
      <c r="N41" s="147"/>
      <c r="O41" s="106">
        <v>5</v>
      </c>
      <c r="P41" s="120"/>
      <c r="Q41" s="110" t="str">
        <f t="shared" si="0"/>
        <v/>
      </c>
      <c r="R41" s="108"/>
      <c r="S41" s="108"/>
      <c r="T41" s="111" t="str">
        <f t="shared" si="6"/>
        <v/>
      </c>
      <c r="U41" s="121"/>
      <c r="V41" s="121"/>
      <c r="W41" s="121"/>
      <c r="X41" s="112" t="str">
        <f t="shared" si="7"/>
        <v/>
      </c>
      <c r="Y41" s="113" t="str">
        <f t="shared" si="8"/>
        <v/>
      </c>
      <c r="Z41" s="111" t="str">
        <f t="shared" si="9"/>
        <v/>
      </c>
      <c r="AA41" s="113" t="str">
        <f t="shared" si="10"/>
        <v/>
      </c>
      <c r="AB41" s="111" t="str">
        <f t="shared" si="11"/>
        <v/>
      </c>
      <c r="AC41" s="114" t="str">
        <f t="shared" si="12"/>
        <v/>
      </c>
      <c r="AD41" s="129"/>
      <c r="AE41" s="108"/>
      <c r="AF41" s="107"/>
      <c r="AG41" s="107"/>
      <c r="AH41" s="109"/>
      <c r="AI41" s="109"/>
      <c r="AJ41" s="107"/>
      <c r="AK41" s="106"/>
    </row>
    <row r="42" spans="1:37" ht="16.5" customHeight="1" x14ac:dyDescent="0.2">
      <c r="A42" s="135"/>
      <c r="B42" s="132"/>
      <c r="C42" s="132"/>
      <c r="D42" s="132"/>
      <c r="E42" s="132"/>
      <c r="F42" s="132"/>
      <c r="G42" s="135"/>
      <c r="H42" s="138"/>
      <c r="I42" s="141"/>
      <c r="J42" s="144"/>
      <c r="K42" s="141"/>
      <c r="L42" s="138"/>
      <c r="M42" s="141"/>
      <c r="N42" s="147"/>
      <c r="O42" s="106">
        <v>6</v>
      </c>
      <c r="P42" s="120"/>
      <c r="Q42" s="110" t="str">
        <f t="shared" si="0"/>
        <v/>
      </c>
      <c r="R42" s="108"/>
      <c r="S42" s="108"/>
      <c r="T42" s="111" t="str">
        <f t="shared" si="6"/>
        <v/>
      </c>
      <c r="U42" s="121"/>
      <c r="V42" s="121"/>
      <c r="W42" s="121"/>
      <c r="X42" s="112" t="str">
        <f t="shared" si="7"/>
        <v/>
      </c>
      <c r="Y42" s="113" t="str">
        <f t="shared" si="8"/>
        <v/>
      </c>
      <c r="Z42" s="111" t="str">
        <f t="shared" si="9"/>
        <v/>
      </c>
      <c r="AA42" s="113" t="str">
        <f t="shared" si="10"/>
        <v/>
      </c>
      <c r="AB42" s="111" t="str">
        <f t="shared" si="11"/>
        <v/>
      </c>
      <c r="AC42" s="114" t="str">
        <f t="shared" si="12"/>
        <v/>
      </c>
      <c r="AD42" s="129"/>
      <c r="AE42" s="108"/>
      <c r="AF42" s="107"/>
      <c r="AG42" s="107"/>
      <c r="AH42" s="109"/>
      <c r="AI42" s="109"/>
      <c r="AJ42" s="107"/>
      <c r="AK42" s="106"/>
    </row>
    <row r="43" spans="1:37" ht="16.5" customHeight="1" x14ac:dyDescent="0.2">
      <c r="A43" s="136"/>
      <c r="B43" s="133"/>
      <c r="C43" s="133"/>
      <c r="D43" s="133"/>
      <c r="E43" s="133"/>
      <c r="F43" s="133"/>
      <c r="G43" s="136"/>
      <c r="H43" s="139"/>
      <c r="I43" s="142"/>
      <c r="J43" s="145"/>
      <c r="K43" s="142"/>
      <c r="L43" s="139"/>
      <c r="M43" s="142"/>
      <c r="N43" s="148"/>
      <c r="O43" s="106">
        <v>7</v>
      </c>
      <c r="P43" s="120"/>
      <c r="Q43" s="110" t="str">
        <f t="shared" si="0"/>
        <v/>
      </c>
      <c r="R43" s="108"/>
      <c r="S43" s="108"/>
      <c r="T43" s="111" t="str">
        <f t="shared" si="6"/>
        <v/>
      </c>
      <c r="U43" s="121"/>
      <c r="V43" s="121"/>
      <c r="W43" s="121"/>
      <c r="X43" s="112" t="str">
        <f t="shared" si="7"/>
        <v/>
      </c>
      <c r="Y43" s="113" t="str">
        <f t="shared" si="8"/>
        <v/>
      </c>
      <c r="Z43" s="111" t="str">
        <f t="shared" si="9"/>
        <v/>
      </c>
      <c r="AA43" s="113" t="str">
        <f t="shared" si="10"/>
        <v/>
      </c>
      <c r="AB43" s="111" t="str">
        <f t="shared" si="11"/>
        <v/>
      </c>
      <c r="AC43" s="114" t="str">
        <f t="shared" si="12"/>
        <v/>
      </c>
      <c r="AD43" s="130"/>
      <c r="AE43" s="108"/>
      <c r="AF43" s="107"/>
      <c r="AG43" s="107"/>
      <c r="AH43" s="109"/>
      <c r="AI43" s="109"/>
      <c r="AJ43" s="107"/>
      <c r="AK43" s="106"/>
    </row>
    <row r="44" spans="1:37" ht="72" customHeight="1" x14ac:dyDescent="0.2">
      <c r="A44" s="134">
        <v>5</v>
      </c>
      <c r="B44" s="131" t="s">
        <v>197</v>
      </c>
      <c r="C44" s="131" t="s">
        <v>258</v>
      </c>
      <c r="D44" s="131" t="s">
        <v>256</v>
      </c>
      <c r="E44" s="131" t="s">
        <v>257</v>
      </c>
      <c r="F44" s="131" t="s">
        <v>203</v>
      </c>
      <c r="G44" s="134">
        <v>24</v>
      </c>
      <c r="H44" s="137" t="str">
        <f t="shared" ref="H44" si="28">IF(G44&lt;=0,"",IF(G44&lt;=2,"Muy Baja",IF(G44&lt;=24,"Baja",IF(G44&lt;=500,"Media",IF(G44&lt;=5000,"Alta","Muy Alta")))))</f>
        <v>Baja</v>
      </c>
      <c r="I44" s="140">
        <f t="shared" ref="I44" si="29">IF(H44="","",IF(H44="Muy Baja",0.2,IF(H44="Baja",0.4,IF(H44="Media",0.6,IF(H44="Alta",0.8,IF(H44="Muy Alta",1,))))))</f>
        <v>0.4</v>
      </c>
      <c r="J44" s="143" t="s">
        <v>149</v>
      </c>
      <c r="K44" s="140" t="str">
        <f>IF(NOT(ISERROR(MATCH(J44,'[1]Tabla Impacto'!$B$221:$B$223,0))),'[1]Tabla Impacto'!$F$223&amp;"Por favor no seleccionar los criterios de impacto(Afectación Económica o presupuestal y Pérdida Reputacional)",J44)</f>
        <v xml:space="preserve">     El riesgo afecta la imagen de la entidad internamente, de conocimiento general, nivel interno, de junta dircetiva y accionistas y/o de provedores</v>
      </c>
      <c r="L44" s="137" t="str">
        <f>IF(OR(K44='[1]Tabla Impacto'!$C$11,K44='[1]Tabla Impacto'!$D$11),"Leve",IF(OR(K44='[1]Tabla Impacto'!$C$12,K44='[1]Tabla Impacto'!$D$12),"Menor",IF(OR(K44='[1]Tabla Impacto'!$C$13,K44='[1]Tabla Impacto'!$D$13),"Moderado",IF(OR(K44='[1]Tabla Impacto'!$C$14,K44='[1]Tabla Impacto'!$D$14),"Mayor",IF(OR(K44='[1]Tabla Impacto'!$C$15,K44='[1]Tabla Impacto'!$D$15),"Catastrófico","")))))</f>
        <v>Menor</v>
      </c>
      <c r="M44" s="140">
        <f t="shared" ref="M44" si="30">IF(L44="","",IF(L44="Leve",0.2,IF(L44="Menor",0.4,IF(L44="Moderado",0.6,IF(L44="Mayor",0.8,IF(L44="Catastrófico",1,))))))</f>
        <v>0.4</v>
      </c>
      <c r="N44" s="146" t="str">
        <f t="shared" ref="N44" si="31">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Moderado</v>
      </c>
      <c r="O44" s="106">
        <v>1</v>
      </c>
      <c r="P44" s="124" t="s">
        <v>279</v>
      </c>
      <c r="Q44" s="110" t="str">
        <f t="shared" si="0"/>
        <v>Probabilidad</v>
      </c>
      <c r="R44" s="108" t="s">
        <v>169</v>
      </c>
      <c r="S44" s="108" t="s">
        <v>175</v>
      </c>
      <c r="T44" s="111" t="str">
        <f t="shared" si="6"/>
        <v>30%</v>
      </c>
      <c r="U44" s="121" t="s">
        <v>178</v>
      </c>
      <c r="V44" s="121" t="s">
        <v>183</v>
      </c>
      <c r="W44" s="121" t="s">
        <v>187</v>
      </c>
      <c r="X44" s="112">
        <f t="shared" si="7"/>
        <v>0.28000000000000003</v>
      </c>
      <c r="Y44" s="113" t="str">
        <f t="shared" si="8"/>
        <v>Baja</v>
      </c>
      <c r="Z44" s="111">
        <f t="shared" si="9"/>
        <v>0.28000000000000003</v>
      </c>
      <c r="AA44" s="113" t="str">
        <f t="shared" si="10"/>
        <v>Menor</v>
      </c>
      <c r="AB44" s="111">
        <f t="shared" si="11"/>
        <v>0.4</v>
      </c>
      <c r="AC44" s="114" t="str">
        <f t="shared" si="12"/>
        <v>Moderado</v>
      </c>
      <c r="AD44" s="128" t="str">
        <f t="shared" ref="AD44" si="32">IFERROR(IF(OR(AND(AC44="Bajo",AC45="Bajo",AC46="Bajo"),AND(AC44="Bajo",AC45="Bajo",AC46=""),AND(AC44="Bajo",AC45="",AC46="")),"Bajo",IF(OR(AND(AC44="Bajo",AC45="Bajo",AC46="Moderado"),AND(AC44="Bajo",AC45="Moderado",AC46="Moderado"),AND(AC44="Moderado",AC45="Moderado",AC46="Moderado"),AND(AC44="Bajo",AC45="Moderado",AC46=""),AND(AC44="Moderado",AC45="Bajo",AC46=""),AND(AC44="Moderado",AC45="Moderado",AC46=""),AND(AC44="Moderado",AC45="",AC46="")),"Moderado",IF(OR(AND(AC44="Bajo",AC45="Bajo",AC46="Alto"),AND(AC44="Bajo",AC45="Moderado",AC46="Alto"),AND(AC44="Moderado",AC45="Bajo",AC46="Alto"),AND(AC44="Moderado",AC45="Alto",AC46="Bajo"),AND(AC44="Moderado",AC45="Moderado",AC46="Alto"),AND(AC44="Alto",AC45="Bajo",AC46="Bajo"),AND(AC44="Alto",AC45="Moderado",AC46="Bajo"),AND(AC44="Alto",AC45="Moderado",AC46="Moderado"),AND(AC44="Alto",AC45="Alto",AC46="Bajo"),AND(AC44="Alto",AC45="Alto",AC46="Moderado"),AND(AC44="Alto",AC45="Alto",AC46="Alto"),AND(AC44="Alto",AC45="Bajo",AC46=""),AND(AC44="Alto",AC45="Moderado",AC46=""),AND(AC44="Alto",AC45="Alto",AC46=""),AND(AC44="Bajo",AC45="Alto",AC46=""),AND(AC44="Moderado",AC45="Alto",AC46=""),AND(AC44="Alto",AC45="",AC46="")),"Alto",IF(OR(AND(AC44="Bajo",AC45="Bajo",AC46="Extremo"),AND(AC44="Bajo",AC45="Moderado",AC46="Extremo"),AND(AC44="Bajo",AC45="Alto",AC46="Extremo"),AND(AC44="Moderado",AC45="Bajo",AC46="Extremo"),AND(AC44="Moderado",AC45="Alto",AC46="Extremo"),AND(AC44="Moderado",AC45="Moderado",AC46="Extremo"),AND(AC44="Alto",AC45="Bajo",AC46="Extremo"),AND(AC44="Alto",AC45="Moderado",AC46="Extremo"),AND(AC44="Alto",AC45="Alto",AC46="Extremo"),AND(AC44="Extremo",AC45="Bajo",AC46="Bajo"),AND(AC44="Extremo",AC45="Bajo",AC46="Moderado"),AND(AC44="Extremo",AC45="Bajo",AC46="Alto"),AND(AC44="Extremo",AC45="Moderado",AC46="Bajo"),AND(AC44="Extremo",AC45="Moderado",AC46="Moderado"),AND(AC44="Extremo",AC45="Moderado",AC46="Alto"),AND(AC44="Extremo",AC45="Alto",AC46="Bajo"),AND(AC44="Extremo",AC45="Alto",AC46="Moderado"),AND(AC44="Extremo",AC45="Alto",AC46="Alto"),AND(AC44="Extremo",AC45="Extremo",AC46="Bajo"),AND(AC44="Extremo",AC45="Extremo",AC46="Moderado"),AND(AC44="Extremo",AC45="Extremo",AC46="Alto"),AND(AC44="Extremo",AC45="Extremo",AC46="Extremo"),AND(AC44="Extremo",AC45="Bajo",AC46=""),AND(AC44="Extremo",AC45="Moderado",AC46=""),AND(AC44="Extremo",AC45="Alto",AC46=""),AND(AC44="Extremo",AC45="",AC46="")),"Extremo")))),"")</f>
        <v>Moderado</v>
      </c>
      <c r="AE44" s="125" t="s">
        <v>192</v>
      </c>
      <c r="AF44" s="107"/>
      <c r="AG44" s="107"/>
      <c r="AH44" s="109"/>
      <c r="AI44" s="109"/>
      <c r="AJ44" s="107"/>
      <c r="AK44" s="106"/>
    </row>
    <row r="45" spans="1:37" ht="86.25" x14ac:dyDescent="0.2">
      <c r="A45" s="135"/>
      <c r="B45" s="132"/>
      <c r="C45" s="132"/>
      <c r="D45" s="132"/>
      <c r="E45" s="132"/>
      <c r="F45" s="132"/>
      <c r="G45" s="135"/>
      <c r="H45" s="138"/>
      <c r="I45" s="141"/>
      <c r="J45" s="144"/>
      <c r="K45" s="141"/>
      <c r="L45" s="138"/>
      <c r="M45" s="141"/>
      <c r="N45" s="147"/>
      <c r="O45" s="106">
        <v>2</v>
      </c>
      <c r="P45" s="124" t="s">
        <v>280</v>
      </c>
      <c r="Q45" s="110" t="str">
        <f t="shared" si="0"/>
        <v>Probabilidad</v>
      </c>
      <c r="R45" s="108" t="s">
        <v>169</v>
      </c>
      <c r="S45" s="108" t="s">
        <v>175</v>
      </c>
      <c r="T45" s="111" t="str">
        <f t="shared" si="6"/>
        <v>30%</v>
      </c>
      <c r="U45" s="121" t="s">
        <v>178</v>
      </c>
      <c r="V45" s="121" t="s">
        <v>183</v>
      </c>
      <c r="W45" s="121" t="s">
        <v>187</v>
      </c>
      <c r="X45" s="112">
        <f t="shared" si="7"/>
        <v>0</v>
      </c>
      <c r="Y45" s="113" t="str">
        <f t="shared" si="8"/>
        <v>Muy Baja</v>
      </c>
      <c r="Z45" s="111">
        <f t="shared" si="9"/>
        <v>0</v>
      </c>
      <c r="AA45" s="113" t="str">
        <f t="shared" si="10"/>
        <v>Leve</v>
      </c>
      <c r="AB45" s="111">
        <f t="shared" si="11"/>
        <v>0</v>
      </c>
      <c r="AC45" s="114" t="str">
        <f t="shared" si="12"/>
        <v>Bajo</v>
      </c>
      <c r="AD45" s="129"/>
      <c r="AE45" s="126"/>
      <c r="AF45" s="107"/>
      <c r="AG45" s="107"/>
      <c r="AH45" s="109"/>
      <c r="AI45" s="109"/>
      <c r="AJ45" s="107"/>
      <c r="AK45" s="106"/>
    </row>
    <row r="46" spans="1:37" x14ac:dyDescent="0.2">
      <c r="A46" s="135"/>
      <c r="B46" s="132"/>
      <c r="C46" s="132"/>
      <c r="D46" s="132"/>
      <c r="E46" s="132"/>
      <c r="F46" s="132"/>
      <c r="G46" s="135"/>
      <c r="H46" s="138"/>
      <c r="I46" s="141"/>
      <c r="J46" s="144"/>
      <c r="K46" s="141"/>
      <c r="L46" s="138"/>
      <c r="M46" s="141"/>
      <c r="N46" s="147"/>
      <c r="O46" s="106">
        <v>3</v>
      </c>
      <c r="P46" s="120"/>
      <c r="Q46" s="110" t="str">
        <f t="shared" si="0"/>
        <v/>
      </c>
      <c r="R46" s="108"/>
      <c r="S46" s="108"/>
      <c r="T46" s="111" t="str">
        <f t="shared" si="6"/>
        <v/>
      </c>
      <c r="U46" s="121"/>
      <c r="V46" s="121"/>
      <c r="W46" s="121"/>
      <c r="X46" s="112" t="str">
        <f t="shared" si="7"/>
        <v/>
      </c>
      <c r="Y46" s="113" t="str">
        <f t="shared" si="8"/>
        <v/>
      </c>
      <c r="Z46" s="111" t="str">
        <f t="shared" si="9"/>
        <v/>
      </c>
      <c r="AA46" s="113" t="str">
        <f t="shared" si="10"/>
        <v/>
      </c>
      <c r="AB46" s="111" t="str">
        <f t="shared" si="11"/>
        <v/>
      </c>
      <c r="AC46" s="114" t="str">
        <f t="shared" si="12"/>
        <v/>
      </c>
      <c r="AD46" s="129"/>
      <c r="AE46" s="127"/>
      <c r="AF46" s="107"/>
      <c r="AG46" s="107"/>
      <c r="AH46" s="109"/>
      <c r="AI46" s="109"/>
      <c r="AJ46" s="107"/>
      <c r="AK46" s="106"/>
    </row>
    <row r="47" spans="1:37" ht="16.5" customHeight="1" x14ac:dyDescent="0.2">
      <c r="A47" s="135"/>
      <c r="B47" s="132"/>
      <c r="C47" s="132"/>
      <c r="D47" s="132"/>
      <c r="E47" s="132"/>
      <c r="F47" s="132"/>
      <c r="G47" s="135"/>
      <c r="H47" s="138"/>
      <c r="I47" s="141"/>
      <c r="J47" s="144"/>
      <c r="K47" s="141"/>
      <c r="L47" s="138"/>
      <c r="M47" s="141"/>
      <c r="N47" s="147"/>
      <c r="O47" s="106">
        <v>4</v>
      </c>
      <c r="P47" s="120"/>
      <c r="Q47" s="110" t="str">
        <f t="shared" si="0"/>
        <v/>
      </c>
      <c r="R47" s="108"/>
      <c r="S47" s="108"/>
      <c r="T47" s="111" t="str">
        <f t="shared" si="6"/>
        <v/>
      </c>
      <c r="U47" s="121"/>
      <c r="V47" s="121"/>
      <c r="W47" s="121"/>
      <c r="X47" s="112" t="str">
        <f t="shared" si="7"/>
        <v/>
      </c>
      <c r="Y47" s="113" t="str">
        <f t="shared" si="8"/>
        <v/>
      </c>
      <c r="Z47" s="111" t="str">
        <f t="shared" si="9"/>
        <v/>
      </c>
      <c r="AA47" s="113" t="str">
        <f t="shared" si="10"/>
        <v/>
      </c>
      <c r="AB47" s="111" t="str">
        <f t="shared" si="11"/>
        <v/>
      </c>
      <c r="AC47" s="114" t="str">
        <f t="shared" si="12"/>
        <v/>
      </c>
      <c r="AD47" s="129"/>
      <c r="AE47" s="108"/>
      <c r="AF47" s="107"/>
      <c r="AG47" s="107"/>
      <c r="AH47" s="109"/>
      <c r="AI47" s="109"/>
      <c r="AJ47" s="107"/>
      <c r="AK47" s="106"/>
    </row>
    <row r="48" spans="1:37" ht="16.5" customHeight="1" x14ac:dyDescent="0.2">
      <c r="A48" s="135"/>
      <c r="B48" s="132"/>
      <c r="C48" s="132"/>
      <c r="D48" s="132"/>
      <c r="E48" s="132"/>
      <c r="F48" s="132"/>
      <c r="G48" s="135"/>
      <c r="H48" s="138"/>
      <c r="I48" s="141"/>
      <c r="J48" s="144"/>
      <c r="K48" s="141"/>
      <c r="L48" s="138"/>
      <c r="M48" s="141"/>
      <c r="N48" s="147"/>
      <c r="O48" s="106">
        <v>5</v>
      </c>
      <c r="P48" s="120"/>
      <c r="Q48" s="110" t="str">
        <f t="shared" si="0"/>
        <v/>
      </c>
      <c r="R48" s="108"/>
      <c r="S48" s="108"/>
      <c r="T48" s="111" t="str">
        <f t="shared" si="6"/>
        <v/>
      </c>
      <c r="U48" s="121"/>
      <c r="V48" s="121"/>
      <c r="W48" s="121"/>
      <c r="X48" s="112" t="str">
        <f t="shared" si="7"/>
        <v/>
      </c>
      <c r="Y48" s="113" t="str">
        <f t="shared" si="8"/>
        <v/>
      </c>
      <c r="Z48" s="111" t="str">
        <f t="shared" si="9"/>
        <v/>
      </c>
      <c r="AA48" s="113" t="str">
        <f t="shared" si="10"/>
        <v/>
      </c>
      <c r="AB48" s="111" t="str">
        <f t="shared" si="11"/>
        <v/>
      </c>
      <c r="AC48" s="114" t="str">
        <f t="shared" si="12"/>
        <v/>
      </c>
      <c r="AD48" s="129"/>
      <c r="AE48" s="108"/>
      <c r="AF48" s="107"/>
      <c r="AG48" s="107"/>
      <c r="AH48" s="109"/>
      <c r="AI48" s="109"/>
      <c r="AJ48" s="107"/>
      <c r="AK48" s="106"/>
    </row>
    <row r="49" spans="1:37" ht="16.5" customHeight="1" x14ac:dyDescent="0.2">
      <c r="A49" s="135"/>
      <c r="B49" s="132"/>
      <c r="C49" s="132"/>
      <c r="D49" s="132"/>
      <c r="E49" s="132"/>
      <c r="F49" s="132"/>
      <c r="G49" s="135"/>
      <c r="H49" s="138"/>
      <c r="I49" s="141"/>
      <c r="J49" s="144"/>
      <c r="K49" s="141"/>
      <c r="L49" s="138"/>
      <c r="M49" s="141"/>
      <c r="N49" s="147"/>
      <c r="O49" s="106">
        <v>6</v>
      </c>
      <c r="P49" s="120"/>
      <c r="Q49" s="110" t="str">
        <f t="shared" si="0"/>
        <v/>
      </c>
      <c r="R49" s="108"/>
      <c r="S49" s="108"/>
      <c r="T49" s="111" t="str">
        <f t="shared" si="6"/>
        <v/>
      </c>
      <c r="U49" s="121"/>
      <c r="V49" s="121"/>
      <c r="W49" s="121"/>
      <c r="X49" s="112" t="str">
        <f t="shared" si="7"/>
        <v/>
      </c>
      <c r="Y49" s="113" t="str">
        <f t="shared" si="8"/>
        <v/>
      </c>
      <c r="Z49" s="111" t="str">
        <f t="shared" si="9"/>
        <v/>
      </c>
      <c r="AA49" s="113" t="str">
        <f t="shared" si="10"/>
        <v/>
      </c>
      <c r="AB49" s="111" t="str">
        <f t="shared" si="11"/>
        <v/>
      </c>
      <c r="AC49" s="114" t="str">
        <f t="shared" si="12"/>
        <v/>
      </c>
      <c r="AD49" s="129"/>
      <c r="AE49" s="108"/>
      <c r="AF49" s="107"/>
      <c r="AG49" s="107"/>
      <c r="AH49" s="109"/>
      <c r="AI49" s="109"/>
      <c r="AJ49" s="107"/>
      <c r="AK49" s="106"/>
    </row>
    <row r="50" spans="1:37" ht="16.5" customHeight="1" x14ac:dyDescent="0.2">
      <c r="A50" s="136"/>
      <c r="B50" s="133"/>
      <c r="C50" s="133"/>
      <c r="D50" s="133"/>
      <c r="E50" s="133"/>
      <c r="F50" s="133"/>
      <c r="G50" s="136"/>
      <c r="H50" s="139"/>
      <c r="I50" s="142"/>
      <c r="J50" s="145"/>
      <c r="K50" s="142"/>
      <c r="L50" s="139"/>
      <c r="M50" s="142"/>
      <c r="N50" s="148"/>
      <c r="O50" s="106">
        <v>7</v>
      </c>
      <c r="P50" s="120"/>
      <c r="Q50" s="110" t="str">
        <f t="shared" si="0"/>
        <v/>
      </c>
      <c r="R50" s="108"/>
      <c r="S50" s="108"/>
      <c r="T50" s="111" t="str">
        <f t="shared" si="6"/>
        <v/>
      </c>
      <c r="U50" s="121"/>
      <c r="V50" s="121"/>
      <c r="W50" s="121"/>
      <c r="X50" s="112" t="str">
        <f t="shared" si="7"/>
        <v/>
      </c>
      <c r="Y50" s="113" t="str">
        <f t="shared" si="8"/>
        <v/>
      </c>
      <c r="Z50" s="111" t="str">
        <f t="shared" si="9"/>
        <v/>
      </c>
      <c r="AA50" s="113" t="str">
        <f t="shared" si="10"/>
        <v/>
      </c>
      <c r="AB50" s="111" t="str">
        <f t="shared" si="11"/>
        <v/>
      </c>
      <c r="AC50" s="114" t="str">
        <f t="shared" si="12"/>
        <v/>
      </c>
      <c r="AD50" s="130"/>
      <c r="AE50" s="108"/>
      <c r="AF50" s="107"/>
      <c r="AG50" s="107"/>
      <c r="AH50" s="109"/>
      <c r="AI50" s="109"/>
      <c r="AJ50" s="107"/>
      <c r="AK50" s="106"/>
    </row>
    <row r="51" spans="1:37" ht="16.5" customHeight="1" x14ac:dyDescent="0.2">
      <c r="A51" s="134">
        <v>6</v>
      </c>
      <c r="B51" s="131"/>
      <c r="C51" s="131"/>
      <c r="D51" s="131"/>
      <c r="E51" s="131"/>
      <c r="F51" s="131"/>
      <c r="G51" s="134"/>
      <c r="H51" s="137" t="str">
        <f t="shared" ref="H51" si="33">IF(G51&lt;=0,"",IF(G51&lt;=2,"Muy Baja",IF(G51&lt;=24,"Baja",IF(G51&lt;=500,"Media",IF(G51&lt;=5000,"Alta","Muy Alta")))))</f>
        <v/>
      </c>
      <c r="I51" s="140" t="str">
        <f t="shared" ref="I51" si="34">IF(H51="","",IF(H51="Muy Baja",0.2,IF(H51="Baja",0.4,IF(H51="Media",0.6,IF(H51="Alta",0.8,IF(H51="Muy Alta",1,))))))</f>
        <v/>
      </c>
      <c r="J51" s="143"/>
      <c r="K51" s="140">
        <f>IF(NOT(ISERROR(MATCH(J51,'[1]Tabla Impacto'!$B$221:$B$223,0))),'[1]Tabla Impacto'!$F$223&amp;"Por favor no seleccionar los criterios de impacto(Afectación Económica o presupuestal y Pérdida Reputacional)",J51)</f>
        <v>0</v>
      </c>
      <c r="L51" s="137" t="str">
        <f>IF(OR(K51='[1]Tabla Impacto'!$C$11,K51='[1]Tabla Impacto'!$D$11),"Leve",IF(OR(K51='[1]Tabla Impacto'!$C$12,K51='[1]Tabla Impacto'!$D$12),"Menor",IF(OR(K51='[1]Tabla Impacto'!$C$13,K51='[1]Tabla Impacto'!$D$13),"Moderado",IF(OR(K51='[1]Tabla Impacto'!$C$14,K51='[1]Tabla Impacto'!$D$14),"Mayor",IF(OR(K51='[1]Tabla Impacto'!$C$15,K51='[1]Tabla Impacto'!$D$15),"Catastrófico","")))))</f>
        <v/>
      </c>
      <c r="M51" s="140" t="str">
        <f t="shared" ref="M51" si="35">IF(L51="","",IF(L51="Leve",0.2,IF(L51="Menor",0.4,IF(L51="Moderado",0.6,IF(L51="Mayor",0.8,IF(L51="Catastrófico",1,))))))</f>
        <v/>
      </c>
      <c r="N51" s="146" t="str">
        <f t="shared" ref="N51" si="36">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06">
        <v>1</v>
      </c>
      <c r="P51" s="120"/>
      <c r="Q51" s="110" t="str">
        <f t="shared" si="0"/>
        <v/>
      </c>
      <c r="R51" s="108"/>
      <c r="S51" s="108"/>
      <c r="T51" s="111" t="str">
        <f t="shared" si="6"/>
        <v/>
      </c>
      <c r="U51" s="121"/>
      <c r="V51" s="121"/>
      <c r="W51" s="121"/>
      <c r="X51" s="112" t="str">
        <f t="shared" si="7"/>
        <v/>
      </c>
      <c r="Y51" s="113" t="str">
        <f t="shared" si="8"/>
        <v/>
      </c>
      <c r="Z51" s="111" t="str">
        <f t="shared" si="9"/>
        <v/>
      </c>
      <c r="AA51" s="113" t="str">
        <f t="shared" si="10"/>
        <v/>
      </c>
      <c r="AB51" s="111" t="str">
        <f t="shared" si="11"/>
        <v/>
      </c>
      <c r="AC51" s="114" t="str">
        <f t="shared" si="12"/>
        <v/>
      </c>
      <c r="AD51" s="128" t="b">
        <f t="shared" ref="AD51" si="37">IFERROR(IF(OR(AND(AC51="Bajo",AC52="Bajo",AC53="Bajo"),AND(AC51="Bajo",AC52="Bajo",AC53=""),AND(AC51="Bajo",AC52="",AC53="")),"Bajo",IF(OR(AND(AC51="Bajo",AC52="Bajo",AC53="Moderado"),AND(AC51="Bajo",AC52="Moderado",AC53="Moderado"),AND(AC51="Moderado",AC52="Moderado",AC53="Moderado"),AND(AC51="Bajo",AC52="Moderado",AC53=""),AND(AC51="Moderado",AC52="Bajo",AC53=""),AND(AC51="Moderado",AC52="Moderado",AC53=""),AND(AC51="Moderado",AC52="",AC53="")),"Moderado",IF(OR(AND(AC51="Bajo",AC52="Bajo",AC53="Alto"),AND(AC51="Bajo",AC52="Moderado",AC53="Alto"),AND(AC51="Moderado",AC52="Bajo",AC53="Alto"),AND(AC51="Moderado",AC52="Alto",AC53="Bajo"),AND(AC51="Moderado",AC52="Moderado",AC53="Alto"),AND(AC51="Alto",AC52="Bajo",AC53="Bajo"),AND(AC51="Alto",AC52="Moderado",AC53="Bajo"),AND(AC51="Alto",AC52="Moderado",AC53="Moderado"),AND(AC51="Alto",AC52="Alto",AC53="Bajo"),AND(AC51="Alto",AC52="Alto",AC53="Moderado"),AND(AC51="Alto",AC52="Alto",AC53="Alto"),AND(AC51="Alto",AC52="Bajo",AC53=""),AND(AC51="Alto",AC52="Moderado",AC53=""),AND(AC51="Alto",AC52="Alto",AC53=""),AND(AC51="Bajo",AC52="Alto",AC53=""),AND(AC51="Moderado",AC52="Alto",AC53=""),AND(AC51="Alto",AC52="",AC53="")),"Alto",IF(OR(AND(AC51="Bajo",AC52="Bajo",AC53="Extremo"),AND(AC51="Bajo",AC52="Moderado",AC53="Extremo"),AND(AC51="Bajo",AC52="Alto",AC53="Extremo"),AND(AC51="Moderado",AC52="Bajo",AC53="Extremo"),AND(AC51="Moderado",AC52="Alto",AC53="Extremo"),AND(AC51="Moderado",AC52="Moderado",AC53="Extremo"),AND(AC51="Alto",AC52="Bajo",AC53="Extremo"),AND(AC51="Alto",AC52="Moderado",AC53="Extremo"),AND(AC51="Alto",AC52="Alto",AC53="Extremo"),AND(AC51="Extremo",AC52="Bajo",AC53="Bajo"),AND(AC51="Extremo",AC52="Bajo",AC53="Moderado"),AND(AC51="Extremo",AC52="Bajo",AC53="Alto"),AND(AC51="Extremo",AC52="Moderado",AC53="Bajo"),AND(AC51="Extremo",AC52="Moderado",AC53="Moderado"),AND(AC51="Extremo",AC52="Moderado",AC53="Alto"),AND(AC51="Extremo",AC52="Alto",AC53="Bajo"),AND(AC51="Extremo",AC52="Alto",AC53="Moderado"),AND(AC51="Extremo",AC52="Alto",AC53="Alto"),AND(AC51="Extremo",AC52="Extremo",AC53="Bajo"),AND(AC51="Extremo",AC52="Extremo",AC53="Moderado"),AND(AC51="Extremo",AC52="Extremo",AC53="Alto"),AND(AC51="Extremo",AC52="Extremo",AC53="Extremo"),AND(AC51="Extremo",AC52="Bajo",AC53=""),AND(AC51="Extremo",AC52="Moderado",AC53=""),AND(AC51="Extremo",AC52="Alto",AC53=""),AND(AC51="Extremo",AC52="",AC53="")),"Extremo")))),"")</f>
        <v>0</v>
      </c>
      <c r="AE51" s="125"/>
      <c r="AF51" s="107"/>
      <c r="AG51" s="107"/>
      <c r="AH51" s="109"/>
      <c r="AI51" s="109"/>
      <c r="AJ51" s="107"/>
      <c r="AK51" s="106"/>
    </row>
    <row r="52" spans="1:37" x14ac:dyDescent="0.2">
      <c r="A52" s="135"/>
      <c r="B52" s="132"/>
      <c r="C52" s="132"/>
      <c r="D52" s="132"/>
      <c r="E52" s="132"/>
      <c r="F52" s="132"/>
      <c r="G52" s="135"/>
      <c r="H52" s="138"/>
      <c r="I52" s="141"/>
      <c r="J52" s="144"/>
      <c r="K52" s="141"/>
      <c r="L52" s="138"/>
      <c r="M52" s="141"/>
      <c r="N52" s="147"/>
      <c r="O52" s="106">
        <v>2</v>
      </c>
      <c r="P52" s="120"/>
      <c r="Q52" s="110" t="str">
        <f t="shared" si="0"/>
        <v/>
      </c>
      <c r="R52" s="108"/>
      <c r="S52" s="108"/>
      <c r="T52" s="111" t="str">
        <f t="shared" si="6"/>
        <v/>
      </c>
      <c r="U52" s="121"/>
      <c r="V52" s="121"/>
      <c r="W52" s="121"/>
      <c r="X52" s="112" t="str">
        <f t="shared" si="7"/>
        <v/>
      </c>
      <c r="Y52" s="113" t="str">
        <f t="shared" si="8"/>
        <v/>
      </c>
      <c r="Z52" s="111" t="str">
        <f t="shared" si="9"/>
        <v/>
      </c>
      <c r="AA52" s="113" t="str">
        <f t="shared" si="10"/>
        <v/>
      </c>
      <c r="AB52" s="111" t="str">
        <f t="shared" si="11"/>
        <v/>
      </c>
      <c r="AC52" s="114" t="str">
        <f t="shared" si="12"/>
        <v/>
      </c>
      <c r="AD52" s="129"/>
      <c r="AE52" s="126"/>
      <c r="AF52" s="107"/>
      <c r="AG52" s="107"/>
      <c r="AH52" s="109"/>
      <c r="AI52" s="109"/>
      <c r="AJ52" s="107"/>
      <c r="AK52" s="106"/>
    </row>
    <row r="53" spans="1:37" x14ac:dyDescent="0.2">
      <c r="A53" s="135"/>
      <c r="B53" s="132"/>
      <c r="C53" s="132"/>
      <c r="D53" s="132"/>
      <c r="E53" s="132"/>
      <c r="F53" s="132"/>
      <c r="G53" s="135"/>
      <c r="H53" s="138"/>
      <c r="I53" s="141"/>
      <c r="J53" s="144"/>
      <c r="K53" s="141"/>
      <c r="L53" s="138"/>
      <c r="M53" s="141"/>
      <c r="N53" s="147"/>
      <c r="O53" s="106">
        <v>3</v>
      </c>
      <c r="P53" s="120"/>
      <c r="Q53" s="110" t="str">
        <f t="shared" si="0"/>
        <v/>
      </c>
      <c r="R53" s="108"/>
      <c r="S53" s="108"/>
      <c r="T53" s="111" t="str">
        <f t="shared" si="6"/>
        <v/>
      </c>
      <c r="U53" s="121"/>
      <c r="V53" s="121"/>
      <c r="W53" s="121"/>
      <c r="X53" s="112" t="str">
        <f t="shared" si="7"/>
        <v/>
      </c>
      <c r="Y53" s="113" t="str">
        <f t="shared" si="8"/>
        <v/>
      </c>
      <c r="Z53" s="111" t="str">
        <f t="shared" si="9"/>
        <v/>
      </c>
      <c r="AA53" s="113" t="str">
        <f t="shared" si="10"/>
        <v/>
      </c>
      <c r="AB53" s="111" t="str">
        <f t="shared" si="11"/>
        <v/>
      </c>
      <c r="AC53" s="114" t="str">
        <f t="shared" si="12"/>
        <v/>
      </c>
      <c r="AD53" s="129"/>
      <c r="AE53" s="127"/>
      <c r="AF53" s="107"/>
      <c r="AG53" s="107"/>
      <c r="AH53" s="109"/>
      <c r="AI53" s="109"/>
      <c r="AJ53" s="107"/>
      <c r="AK53" s="106"/>
    </row>
    <row r="54" spans="1:37" x14ac:dyDescent="0.2">
      <c r="A54" s="135"/>
      <c r="B54" s="132"/>
      <c r="C54" s="132"/>
      <c r="D54" s="132"/>
      <c r="E54" s="132"/>
      <c r="F54" s="132"/>
      <c r="G54" s="135"/>
      <c r="H54" s="138"/>
      <c r="I54" s="141"/>
      <c r="J54" s="144"/>
      <c r="K54" s="141"/>
      <c r="L54" s="138"/>
      <c r="M54" s="141"/>
      <c r="N54" s="147"/>
      <c r="O54" s="106">
        <v>4</v>
      </c>
      <c r="P54" s="120"/>
      <c r="Q54" s="110" t="str">
        <f t="shared" si="0"/>
        <v/>
      </c>
      <c r="R54" s="108"/>
      <c r="S54" s="108"/>
      <c r="T54" s="111" t="str">
        <f t="shared" si="6"/>
        <v/>
      </c>
      <c r="U54" s="121"/>
      <c r="V54" s="121"/>
      <c r="W54" s="121"/>
      <c r="X54" s="112" t="str">
        <f t="shared" si="7"/>
        <v/>
      </c>
      <c r="Y54" s="113" t="str">
        <f t="shared" si="8"/>
        <v/>
      </c>
      <c r="Z54" s="111" t="str">
        <f t="shared" si="9"/>
        <v/>
      </c>
      <c r="AA54" s="113" t="str">
        <f t="shared" si="10"/>
        <v/>
      </c>
      <c r="AB54" s="111" t="str">
        <f t="shared" si="11"/>
        <v/>
      </c>
      <c r="AC54" s="114" t="str">
        <f t="shared" si="12"/>
        <v/>
      </c>
      <c r="AD54" s="129"/>
      <c r="AE54" s="108"/>
      <c r="AF54" s="107"/>
      <c r="AG54" s="107"/>
      <c r="AH54" s="109"/>
      <c r="AI54" s="109"/>
      <c r="AJ54" s="107"/>
      <c r="AK54" s="106"/>
    </row>
    <row r="55" spans="1:37" x14ac:dyDescent="0.2">
      <c r="A55" s="135"/>
      <c r="B55" s="132"/>
      <c r="C55" s="132"/>
      <c r="D55" s="132"/>
      <c r="E55" s="132"/>
      <c r="F55" s="132"/>
      <c r="G55" s="135"/>
      <c r="H55" s="138"/>
      <c r="I55" s="141"/>
      <c r="J55" s="144"/>
      <c r="K55" s="141"/>
      <c r="L55" s="138"/>
      <c r="M55" s="141"/>
      <c r="N55" s="147"/>
      <c r="O55" s="106">
        <v>5</v>
      </c>
      <c r="P55" s="120"/>
      <c r="Q55" s="110" t="str">
        <f t="shared" si="0"/>
        <v/>
      </c>
      <c r="R55" s="108"/>
      <c r="S55" s="108"/>
      <c r="T55" s="111" t="str">
        <f t="shared" si="6"/>
        <v/>
      </c>
      <c r="U55" s="121"/>
      <c r="V55" s="121"/>
      <c r="W55" s="121"/>
      <c r="X55" s="112" t="str">
        <f t="shared" si="7"/>
        <v/>
      </c>
      <c r="Y55" s="113" t="str">
        <f t="shared" si="8"/>
        <v/>
      </c>
      <c r="Z55" s="111" t="str">
        <f t="shared" si="9"/>
        <v/>
      </c>
      <c r="AA55" s="113" t="str">
        <f t="shared" si="10"/>
        <v/>
      </c>
      <c r="AB55" s="111" t="str">
        <f t="shared" si="11"/>
        <v/>
      </c>
      <c r="AC55" s="114" t="str">
        <f t="shared" si="12"/>
        <v/>
      </c>
      <c r="AD55" s="129"/>
      <c r="AE55" s="108"/>
      <c r="AF55" s="107"/>
      <c r="AG55" s="107"/>
      <c r="AH55" s="109"/>
      <c r="AI55" s="109"/>
      <c r="AJ55" s="107"/>
      <c r="AK55" s="106"/>
    </row>
    <row r="56" spans="1:37" x14ac:dyDescent="0.2">
      <c r="A56" s="135"/>
      <c r="B56" s="132"/>
      <c r="C56" s="132"/>
      <c r="D56" s="132"/>
      <c r="E56" s="132"/>
      <c r="F56" s="132"/>
      <c r="G56" s="135"/>
      <c r="H56" s="138"/>
      <c r="I56" s="141"/>
      <c r="J56" s="144"/>
      <c r="K56" s="141"/>
      <c r="L56" s="138"/>
      <c r="M56" s="141"/>
      <c r="N56" s="147"/>
      <c r="O56" s="106">
        <v>6</v>
      </c>
      <c r="P56" s="120"/>
      <c r="Q56" s="110" t="str">
        <f t="shared" si="0"/>
        <v/>
      </c>
      <c r="R56" s="108"/>
      <c r="S56" s="108"/>
      <c r="T56" s="111" t="str">
        <f t="shared" si="6"/>
        <v/>
      </c>
      <c r="U56" s="121"/>
      <c r="V56" s="121"/>
      <c r="W56" s="121"/>
      <c r="X56" s="112" t="str">
        <f t="shared" si="7"/>
        <v/>
      </c>
      <c r="Y56" s="113" t="str">
        <f t="shared" si="8"/>
        <v/>
      </c>
      <c r="Z56" s="111" t="str">
        <f t="shared" si="9"/>
        <v/>
      </c>
      <c r="AA56" s="113" t="str">
        <f t="shared" si="10"/>
        <v/>
      </c>
      <c r="AB56" s="111" t="str">
        <f t="shared" si="11"/>
        <v/>
      </c>
      <c r="AC56" s="114" t="str">
        <f t="shared" si="12"/>
        <v/>
      </c>
      <c r="AD56" s="129"/>
      <c r="AE56" s="108"/>
      <c r="AF56" s="107"/>
      <c r="AG56" s="107"/>
      <c r="AH56" s="109"/>
      <c r="AI56" s="109"/>
      <c r="AJ56" s="107"/>
      <c r="AK56" s="106"/>
    </row>
    <row r="57" spans="1:37" x14ac:dyDescent="0.2">
      <c r="A57" s="136"/>
      <c r="B57" s="133"/>
      <c r="C57" s="133"/>
      <c r="D57" s="133"/>
      <c r="E57" s="133"/>
      <c r="F57" s="133"/>
      <c r="G57" s="136"/>
      <c r="H57" s="139"/>
      <c r="I57" s="142"/>
      <c r="J57" s="145"/>
      <c r="K57" s="142"/>
      <c r="L57" s="139"/>
      <c r="M57" s="142"/>
      <c r="N57" s="148"/>
      <c r="O57" s="106">
        <v>7</v>
      </c>
      <c r="P57" s="120"/>
      <c r="Q57" s="110" t="str">
        <f t="shared" si="0"/>
        <v/>
      </c>
      <c r="R57" s="108"/>
      <c r="S57" s="108"/>
      <c r="T57" s="111" t="str">
        <f t="shared" si="6"/>
        <v/>
      </c>
      <c r="U57" s="121"/>
      <c r="V57" s="121"/>
      <c r="W57" s="121"/>
      <c r="X57" s="112" t="str">
        <f t="shared" si="7"/>
        <v/>
      </c>
      <c r="Y57" s="113" t="str">
        <f t="shared" si="8"/>
        <v/>
      </c>
      <c r="Z57" s="111" t="str">
        <f t="shared" si="9"/>
        <v/>
      </c>
      <c r="AA57" s="113" t="str">
        <f t="shared" si="10"/>
        <v/>
      </c>
      <c r="AB57" s="111" t="str">
        <f t="shared" si="11"/>
        <v/>
      </c>
      <c r="AC57" s="114" t="str">
        <f t="shared" si="12"/>
        <v/>
      </c>
      <c r="AD57" s="130"/>
      <c r="AE57" s="108"/>
      <c r="AF57" s="107"/>
      <c r="AG57" s="107"/>
      <c r="AH57" s="109"/>
      <c r="AI57" s="109"/>
      <c r="AJ57" s="107"/>
      <c r="AK57" s="106"/>
    </row>
    <row r="58" spans="1:37" ht="16.5" customHeight="1" x14ac:dyDescent="0.2">
      <c r="A58" s="134">
        <v>7</v>
      </c>
      <c r="B58" s="131"/>
      <c r="C58" s="131"/>
      <c r="D58" s="131"/>
      <c r="E58" s="131"/>
      <c r="F58" s="131"/>
      <c r="G58" s="134"/>
      <c r="H58" s="137" t="str">
        <f t="shared" ref="H58" si="38">IF(G58&lt;=0,"",IF(G58&lt;=2,"Muy Baja",IF(G58&lt;=24,"Baja",IF(G58&lt;=500,"Media",IF(G58&lt;=5000,"Alta","Muy Alta")))))</f>
        <v/>
      </c>
      <c r="I58" s="140" t="str">
        <f t="shared" ref="I58" si="39">IF(H58="","",IF(H58="Muy Baja",0.2,IF(H58="Baja",0.4,IF(H58="Media",0.6,IF(H58="Alta",0.8,IF(H58="Muy Alta",1,))))))</f>
        <v/>
      </c>
      <c r="J58" s="143"/>
      <c r="K58" s="140">
        <f>IF(NOT(ISERROR(MATCH(J58,'[1]Tabla Impacto'!$B$221:$B$223,0))),'[1]Tabla Impacto'!$F$223&amp;"Por favor no seleccionar los criterios de impacto(Afectación Económica o presupuestal y Pérdida Reputacional)",J58)</f>
        <v>0</v>
      </c>
      <c r="L58" s="137" t="str">
        <f>IF(OR(K58='[1]Tabla Impacto'!$C$11,K58='[1]Tabla Impacto'!$D$11),"Leve",IF(OR(K58='[1]Tabla Impacto'!$C$12,K58='[1]Tabla Impacto'!$D$12),"Menor",IF(OR(K58='[1]Tabla Impacto'!$C$13,K58='[1]Tabla Impacto'!$D$13),"Moderado",IF(OR(K58='[1]Tabla Impacto'!$C$14,K58='[1]Tabla Impacto'!$D$14),"Mayor",IF(OR(K58='[1]Tabla Impacto'!$C$15,K58='[1]Tabla Impacto'!$D$15),"Catastrófico","")))))</f>
        <v/>
      </c>
      <c r="M58" s="140" t="str">
        <f t="shared" ref="M58" si="40">IF(L58="","",IF(L58="Leve",0.2,IF(L58="Menor",0.4,IF(L58="Moderado",0.6,IF(L58="Mayor",0.8,IF(L58="Catastrófico",1,))))))</f>
        <v/>
      </c>
      <c r="N58" s="146" t="str">
        <f t="shared" ref="N58" si="4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06">
        <v>1</v>
      </c>
      <c r="P58" s="120"/>
      <c r="Q58" s="110" t="str">
        <f t="shared" si="0"/>
        <v/>
      </c>
      <c r="R58" s="108"/>
      <c r="S58" s="108"/>
      <c r="T58" s="111" t="str">
        <f t="shared" si="6"/>
        <v/>
      </c>
      <c r="U58" s="121"/>
      <c r="V58" s="121"/>
      <c r="W58" s="121"/>
      <c r="X58" s="112" t="str">
        <f t="shared" si="7"/>
        <v/>
      </c>
      <c r="Y58" s="113" t="str">
        <f t="shared" si="8"/>
        <v/>
      </c>
      <c r="Z58" s="111" t="str">
        <f t="shared" si="9"/>
        <v/>
      </c>
      <c r="AA58" s="113" t="str">
        <f t="shared" si="10"/>
        <v/>
      </c>
      <c r="AB58" s="111" t="str">
        <f t="shared" si="11"/>
        <v/>
      </c>
      <c r="AC58" s="114" t="str">
        <f t="shared" si="12"/>
        <v/>
      </c>
      <c r="AD58" s="128" t="b">
        <f t="shared" ref="AD58" si="42">IFERROR(IF(OR(AND(AC58="Bajo",AC59="Bajo",AC60="Bajo"),AND(AC58="Bajo",AC59="Bajo",AC60=""),AND(AC58="Bajo",AC59="",AC60="")),"Bajo",IF(OR(AND(AC58="Bajo",AC59="Bajo",AC60="Moderado"),AND(AC58="Bajo",AC59="Moderado",AC60="Moderado"),AND(AC58="Moderado",AC59="Moderado",AC60="Moderado"),AND(AC58="Bajo",AC59="Moderado",AC60=""),AND(AC58="Moderado",AC59="Bajo",AC60=""),AND(AC58="Moderado",AC59="Moderado",AC60=""),AND(AC58="Moderado",AC59="",AC60="")),"Moderado",IF(OR(AND(AC58="Bajo",AC59="Bajo",AC60="Alto"),AND(AC58="Bajo",AC59="Moderado",AC60="Alto"),AND(AC58="Moderado",AC59="Bajo",AC60="Alto"),AND(AC58="Moderado",AC59="Alto",AC60="Bajo"),AND(AC58="Moderado",AC59="Moderado",AC60="Alto"),AND(AC58="Alto",AC59="Bajo",AC60="Bajo"),AND(AC58="Alto",AC59="Moderado",AC60="Bajo"),AND(AC58="Alto",AC59="Moderado",AC60="Moderado"),AND(AC58="Alto",AC59="Alto",AC60="Bajo"),AND(AC58="Alto",AC59="Alto",AC60="Moderado"),AND(AC58="Alto",AC59="Alto",AC60="Alto"),AND(AC58="Alto",AC59="Bajo",AC60=""),AND(AC58="Alto",AC59="Moderado",AC60=""),AND(AC58="Alto",AC59="Alto",AC60=""),AND(AC58="Bajo",AC59="Alto",AC60=""),AND(AC58="Moderado",AC59="Alto",AC60=""),AND(AC58="Alto",AC59="",AC60="")),"Alto",IF(OR(AND(AC58="Bajo",AC59="Bajo",AC60="Extremo"),AND(AC58="Bajo",AC59="Moderado",AC60="Extremo"),AND(AC58="Bajo",AC59="Alto",AC60="Extremo"),AND(AC58="Moderado",AC59="Bajo",AC60="Extremo"),AND(AC58="Moderado",AC59="Alto",AC60="Extremo"),AND(AC58="Moderado",AC59="Moderado",AC60="Extremo"),AND(AC58="Alto",AC59="Bajo",AC60="Extremo"),AND(AC58="Alto",AC59="Moderado",AC60="Extremo"),AND(AC58="Alto",AC59="Alto",AC60="Extremo"),AND(AC58="Extremo",AC59="Bajo",AC60="Bajo"),AND(AC58="Extremo",AC59="Bajo",AC60="Moderado"),AND(AC58="Extremo",AC59="Bajo",AC60="Alto"),AND(AC58="Extremo",AC59="Moderado",AC60="Bajo"),AND(AC58="Extremo",AC59="Moderado",AC60="Moderado"),AND(AC58="Extremo",AC59="Moderado",AC60="Alto"),AND(AC58="Extremo",AC59="Alto",AC60="Bajo"),AND(AC58="Extremo",AC59="Alto",AC60="Moderado"),AND(AC58="Extremo",AC59="Alto",AC60="Alto"),AND(AC58="Extremo",AC59="Extremo",AC60="Bajo"),AND(AC58="Extremo",AC59="Extremo",AC60="Moderado"),AND(AC58="Extremo",AC59="Extremo",AC60="Alto"),AND(AC58="Extremo",AC59="Extremo",AC60="Extremo"),AND(AC58="Extremo",AC59="Bajo",AC60=""),AND(AC58="Extremo",AC59="Moderado",AC60=""),AND(AC58="Extremo",AC59="Alto",AC60=""),AND(AC58="Extremo",AC59="",AC60="")),"Extremo")))),"")</f>
        <v>0</v>
      </c>
      <c r="AE58" s="125"/>
      <c r="AF58" s="107"/>
      <c r="AG58" s="107"/>
      <c r="AH58" s="109"/>
      <c r="AI58" s="109"/>
      <c r="AJ58" s="107"/>
      <c r="AK58" s="106"/>
    </row>
    <row r="59" spans="1:37" x14ac:dyDescent="0.2">
      <c r="A59" s="135"/>
      <c r="B59" s="132"/>
      <c r="C59" s="132"/>
      <c r="D59" s="132"/>
      <c r="E59" s="132"/>
      <c r="F59" s="132"/>
      <c r="G59" s="135"/>
      <c r="H59" s="138"/>
      <c r="I59" s="141"/>
      <c r="J59" s="144"/>
      <c r="K59" s="141"/>
      <c r="L59" s="138"/>
      <c r="M59" s="141"/>
      <c r="N59" s="147"/>
      <c r="O59" s="106">
        <v>2</v>
      </c>
      <c r="P59" s="120"/>
      <c r="Q59" s="110" t="str">
        <f t="shared" si="0"/>
        <v/>
      </c>
      <c r="R59" s="108"/>
      <c r="S59" s="108"/>
      <c r="T59" s="111" t="str">
        <f t="shared" si="6"/>
        <v/>
      </c>
      <c r="U59" s="121"/>
      <c r="V59" s="121"/>
      <c r="W59" s="121"/>
      <c r="X59" s="112" t="str">
        <f t="shared" si="7"/>
        <v/>
      </c>
      <c r="Y59" s="113" t="str">
        <f t="shared" si="8"/>
        <v/>
      </c>
      <c r="Z59" s="111" t="str">
        <f t="shared" si="9"/>
        <v/>
      </c>
      <c r="AA59" s="113" t="str">
        <f t="shared" si="10"/>
        <v/>
      </c>
      <c r="AB59" s="111" t="str">
        <f t="shared" si="11"/>
        <v/>
      </c>
      <c r="AC59" s="114" t="str">
        <f t="shared" si="12"/>
        <v/>
      </c>
      <c r="AD59" s="129"/>
      <c r="AE59" s="126"/>
      <c r="AF59" s="107"/>
      <c r="AG59" s="107"/>
      <c r="AH59" s="109"/>
      <c r="AI59" s="109"/>
      <c r="AJ59" s="107"/>
      <c r="AK59" s="106"/>
    </row>
    <row r="60" spans="1:37" x14ac:dyDescent="0.2">
      <c r="A60" s="135"/>
      <c r="B60" s="132"/>
      <c r="C60" s="132"/>
      <c r="D60" s="132"/>
      <c r="E60" s="132"/>
      <c r="F60" s="132"/>
      <c r="G60" s="135"/>
      <c r="H60" s="138"/>
      <c r="I60" s="141"/>
      <c r="J60" s="144"/>
      <c r="K60" s="141"/>
      <c r="L60" s="138"/>
      <c r="M60" s="141"/>
      <c r="N60" s="147"/>
      <c r="O60" s="106">
        <v>3</v>
      </c>
      <c r="P60" s="120"/>
      <c r="Q60" s="110" t="str">
        <f t="shared" si="0"/>
        <v/>
      </c>
      <c r="R60" s="108"/>
      <c r="S60" s="108"/>
      <c r="T60" s="111" t="str">
        <f t="shared" si="6"/>
        <v/>
      </c>
      <c r="U60" s="121"/>
      <c r="V60" s="121"/>
      <c r="W60" s="121"/>
      <c r="X60" s="112" t="str">
        <f t="shared" si="7"/>
        <v/>
      </c>
      <c r="Y60" s="113" t="str">
        <f t="shared" si="8"/>
        <v/>
      </c>
      <c r="Z60" s="111" t="str">
        <f t="shared" si="9"/>
        <v/>
      </c>
      <c r="AA60" s="113" t="str">
        <f t="shared" si="10"/>
        <v/>
      </c>
      <c r="AB60" s="111" t="str">
        <f t="shared" si="11"/>
        <v/>
      </c>
      <c r="AC60" s="114" t="str">
        <f t="shared" si="12"/>
        <v/>
      </c>
      <c r="AD60" s="129"/>
      <c r="AE60" s="127"/>
      <c r="AF60" s="107"/>
      <c r="AG60" s="107"/>
      <c r="AH60" s="109"/>
      <c r="AI60" s="109"/>
      <c r="AJ60" s="107"/>
      <c r="AK60" s="106"/>
    </row>
    <row r="61" spans="1:37" x14ac:dyDescent="0.2">
      <c r="A61" s="135"/>
      <c r="B61" s="132"/>
      <c r="C61" s="132"/>
      <c r="D61" s="132"/>
      <c r="E61" s="132"/>
      <c r="F61" s="132"/>
      <c r="G61" s="135"/>
      <c r="H61" s="138"/>
      <c r="I61" s="141"/>
      <c r="J61" s="144"/>
      <c r="K61" s="141"/>
      <c r="L61" s="138"/>
      <c r="M61" s="141"/>
      <c r="N61" s="147"/>
      <c r="O61" s="106">
        <v>4</v>
      </c>
      <c r="P61" s="120"/>
      <c r="Q61" s="110" t="str">
        <f t="shared" si="0"/>
        <v/>
      </c>
      <c r="R61" s="108"/>
      <c r="S61" s="108"/>
      <c r="T61" s="111" t="str">
        <f t="shared" si="6"/>
        <v/>
      </c>
      <c r="U61" s="121"/>
      <c r="V61" s="121"/>
      <c r="W61" s="121"/>
      <c r="X61" s="112" t="str">
        <f t="shared" si="7"/>
        <v/>
      </c>
      <c r="Y61" s="113" t="str">
        <f t="shared" si="8"/>
        <v/>
      </c>
      <c r="Z61" s="111" t="str">
        <f t="shared" si="9"/>
        <v/>
      </c>
      <c r="AA61" s="113" t="str">
        <f t="shared" si="10"/>
        <v/>
      </c>
      <c r="AB61" s="111" t="str">
        <f t="shared" si="11"/>
        <v/>
      </c>
      <c r="AC61" s="114" t="str">
        <f t="shared" si="12"/>
        <v/>
      </c>
      <c r="AD61" s="129"/>
      <c r="AE61" s="108"/>
      <c r="AF61" s="107"/>
      <c r="AG61" s="107"/>
      <c r="AH61" s="109"/>
      <c r="AI61" s="109"/>
      <c r="AJ61" s="107"/>
      <c r="AK61" s="106"/>
    </row>
    <row r="62" spans="1:37" x14ac:dyDescent="0.2">
      <c r="A62" s="135"/>
      <c r="B62" s="132"/>
      <c r="C62" s="132"/>
      <c r="D62" s="132"/>
      <c r="E62" s="132"/>
      <c r="F62" s="132"/>
      <c r="G62" s="135"/>
      <c r="H62" s="138"/>
      <c r="I62" s="141"/>
      <c r="J62" s="144"/>
      <c r="K62" s="141"/>
      <c r="L62" s="138"/>
      <c r="M62" s="141"/>
      <c r="N62" s="147"/>
      <c r="O62" s="106">
        <v>5</v>
      </c>
      <c r="P62" s="120"/>
      <c r="Q62" s="110" t="str">
        <f t="shared" si="0"/>
        <v/>
      </c>
      <c r="R62" s="108"/>
      <c r="S62" s="108"/>
      <c r="T62" s="111" t="str">
        <f t="shared" si="6"/>
        <v/>
      </c>
      <c r="U62" s="121"/>
      <c r="V62" s="121"/>
      <c r="W62" s="121"/>
      <c r="X62" s="112" t="str">
        <f t="shared" si="7"/>
        <v/>
      </c>
      <c r="Y62" s="113" t="str">
        <f t="shared" si="8"/>
        <v/>
      </c>
      <c r="Z62" s="111" t="str">
        <f t="shared" si="9"/>
        <v/>
      </c>
      <c r="AA62" s="113" t="str">
        <f t="shared" si="10"/>
        <v/>
      </c>
      <c r="AB62" s="111" t="str">
        <f t="shared" si="11"/>
        <v/>
      </c>
      <c r="AC62" s="114" t="str">
        <f t="shared" si="12"/>
        <v/>
      </c>
      <c r="AD62" s="129"/>
      <c r="AE62" s="108"/>
      <c r="AF62" s="107"/>
      <c r="AG62" s="107"/>
      <c r="AH62" s="109"/>
      <c r="AI62" s="109"/>
      <c r="AJ62" s="107"/>
      <c r="AK62" s="106"/>
    </row>
    <row r="63" spans="1:37" x14ac:dyDescent="0.2">
      <c r="A63" s="135"/>
      <c r="B63" s="132"/>
      <c r="C63" s="132"/>
      <c r="D63" s="132"/>
      <c r="E63" s="132"/>
      <c r="F63" s="132"/>
      <c r="G63" s="135"/>
      <c r="H63" s="138"/>
      <c r="I63" s="141"/>
      <c r="J63" s="144"/>
      <c r="K63" s="141"/>
      <c r="L63" s="138"/>
      <c r="M63" s="141"/>
      <c r="N63" s="147"/>
      <c r="O63" s="106">
        <v>6</v>
      </c>
      <c r="P63" s="120"/>
      <c r="Q63" s="110" t="str">
        <f t="shared" si="0"/>
        <v/>
      </c>
      <c r="R63" s="108"/>
      <c r="S63" s="108"/>
      <c r="T63" s="111" t="str">
        <f t="shared" si="6"/>
        <v/>
      </c>
      <c r="U63" s="121"/>
      <c r="V63" s="121"/>
      <c r="W63" s="121"/>
      <c r="X63" s="112" t="str">
        <f t="shared" si="7"/>
        <v/>
      </c>
      <c r="Y63" s="113" t="str">
        <f t="shared" si="8"/>
        <v/>
      </c>
      <c r="Z63" s="111" t="str">
        <f t="shared" si="9"/>
        <v/>
      </c>
      <c r="AA63" s="113" t="str">
        <f t="shared" si="10"/>
        <v/>
      </c>
      <c r="AB63" s="111" t="str">
        <f t="shared" si="11"/>
        <v/>
      </c>
      <c r="AC63" s="114" t="str">
        <f t="shared" si="12"/>
        <v/>
      </c>
      <c r="AD63" s="129"/>
      <c r="AE63" s="108"/>
      <c r="AF63" s="107"/>
      <c r="AG63" s="107"/>
      <c r="AH63" s="109"/>
      <c r="AI63" s="109"/>
      <c r="AJ63" s="107"/>
      <c r="AK63" s="106"/>
    </row>
    <row r="64" spans="1:37" x14ac:dyDescent="0.2">
      <c r="A64" s="136"/>
      <c r="B64" s="133"/>
      <c r="C64" s="133"/>
      <c r="D64" s="133"/>
      <c r="E64" s="133"/>
      <c r="F64" s="133"/>
      <c r="G64" s="136"/>
      <c r="H64" s="139"/>
      <c r="I64" s="142"/>
      <c r="J64" s="145"/>
      <c r="K64" s="142"/>
      <c r="L64" s="139"/>
      <c r="M64" s="142"/>
      <c r="N64" s="148"/>
      <c r="O64" s="106">
        <v>7</v>
      </c>
      <c r="P64" s="120"/>
      <c r="Q64" s="110" t="str">
        <f t="shared" si="0"/>
        <v/>
      </c>
      <c r="R64" s="108"/>
      <c r="S64" s="108"/>
      <c r="T64" s="111" t="str">
        <f t="shared" si="6"/>
        <v/>
      </c>
      <c r="U64" s="121"/>
      <c r="V64" s="121"/>
      <c r="W64" s="121"/>
      <c r="X64" s="112" t="str">
        <f t="shared" si="7"/>
        <v/>
      </c>
      <c r="Y64" s="113" t="str">
        <f t="shared" si="8"/>
        <v/>
      </c>
      <c r="Z64" s="111" t="str">
        <f t="shared" si="9"/>
        <v/>
      </c>
      <c r="AA64" s="113" t="str">
        <f t="shared" si="10"/>
        <v/>
      </c>
      <c r="AB64" s="111" t="str">
        <f t="shared" si="11"/>
        <v/>
      </c>
      <c r="AC64" s="114" t="str">
        <f t="shared" si="12"/>
        <v/>
      </c>
      <c r="AD64" s="130"/>
      <c r="AE64" s="108"/>
      <c r="AF64" s="107"/>
      <c r="AG64" s="107"/>
      <c r="AH64" s="109"/>
      <c r="AI64" s="109"/>
      <c r="AJ64" s="107"/>
      <c r="AK64" s="106"/>
    </row>
    <row r="65" spans="1:37" ht="16.5" customHeight="1" x14ac:dyDescent="0.2">
      <c r="A65" s="134">
        <v>8</v>
      </c>
      <c r="B65" s="131"/>
      <c r="C65" s="131"/>
      <c r="D65" s="131"/>
      <c r="E65" s="131"/>
      <c r="F65" s="131"/>
      <c r="G65" s="134"/>
      <c r="H65" s="137" t="str">
        <f t="shared" ref="H65" si="43">IF(G65&lt;=0,"",IF(G65&lt;=2,"Muy Baja",IF(G65&lt;=24,"Baja",IF(G65&lt;=500,"Media",IF(G65&lt;=5000,"Alta","Muy Alta")))))</f>
        <v/>
      </c>
      <c r="I65" s="140" t="str">
        <f t="shared" ref="I65" si="44">IF(H65="","",IF(H65="Muy Baja",0.2,IF(H65="Baja",0.4,IF(H65="Media",0.6,IF(H65="Alta",0.8,IF(H65="Muy Alta",1,))))))</f>
        <v/>
      </c>
      <c r="J65" s="143"/>
      <c r="K65" s="140">
        <f>IF(NOT(ISERROR(MATCH(J65,'[1]Tabla Impacto'!$B$221:$B$223,0))),'[1]Tabla Impacto'!$F$223&amp;"Por favor no seleccionar los criterios de impacto(Afectación Económica o presupuestal y Pérdida Reputacional)",J65)</f>
        <v>0</v>
      </c>
      <c r="L65" s="137" t="str">
        <f>IF(OR(K65='[1]Tabla Impacto'!$C$11,K65='[1]Tabla Impacto'!$D$11),"Leve",IF(OR(K65='[1]Tabla Impacto'!$C$12,K65='[1]Tabla Impacto'!$D$12),"Menor",IF(OR(K65='[1]Tabla Impacto'!$C$13,K65='[1]Tabla Impacto'!$D$13),"Moderado",IF(OR(K65='[1]Tabla Impacto'!$C$14,K65='[1]Tabla Impacto'!$D$14),"Mayor",IF(OR(K65='[1]Tabla Impacto'!$C$15,K65='[1]Tabla Impacto'!$D$15),"Catastrófico","")))))</f>
        <v/>
      </c>
      <c r="M65" s="140" t="str">
        <f t="shared" ref="M65" si="45">IF(L65="","",IF(L65="Leve",0.2,IF(L65="Menor",0.4,IF(L65="Moderado",0.6,IF(L65="Mayor",0.8,IF(L65="Catastrófico",1,))))))</f>
        <v/>
      </c>
      <c r="N65" s="146" t="str">
        <f t="shared" ref="N65" si="46">IF(OR(AND(H65="Muy Baja",L65="Leve"),AND(H65="Muy Baja",L65="Menor"),AND(H65="Baja",L65="Leve")),"Bajo",IF(OR(AND(H65="Muy baja",L65="Moderado"),AND(H65="Baja",L65="Menor"),AND(H65="Baja",L65="Moderado"),AND(H65="Media",L65="Leve"),AND(H65="Media",L65="Menor"),AND(H65="Media",L65="Moderado"),AND(H65="Alta",L65="Leve"),AND(H65="Alta",L65="Menor")),"Moderado",IF(OR(AND(H65="Muy Baja",L65="Mayor"),AND(H65="Baja",L65="Mayor"),AND(H65="Media",L65="Mayor"),AND(H65="Alta",L65="Moderado"),AND(H65="Alta",L65="Mayor"),AND(H65="Muy Alta",L65="Leve"),AND(H65="Muy Alta",L65="Menor"),AND(H65="Muy Alta",L65="Moderado"),AND(H65="Muy Alta",L65="Mayor")),"Alto",IF(OR(AND(H65="Muy Baja",L65="Catastrófico"),AND(H65="Baja",L65="Catastrófico"),AND(H65="Media",L65="Catastrófico"),AND(H65="Alta",L65="Catastrófico"),AND(H65="Muy Alta",L65="Catastrófico")),"Extremo",""))))</f>
        <v/>
      </c>
      <c r="O65" s="106">
        <v>1</v>
      </c>
      <c r="P65" s="120"/>
      <c r="Q65" s="110" t="str">
        <f t="shared" si="0"/>
        <v/>
      </c>
      <c r="R65" s="108"/>
      <c r="S65" s="108"/>
      <c r="T65" s="111" t="str">
        <f t="shared" si="6"/>
        <v/>
      </c>
      <c r="U65" s="121"/>
      <c r="V65" s="121"/>
      <c r="W65" s="121"/>
      <c r="X65" s="112" t="str">
        <f t="shared" si="7"/>
        <v/>
      </c>
      <c r="Y65" s="113" t="str">
        <f t="shared" si="8"/>
        <v/>
      </c>
      <c r="Z65" s="111" t="str">
        <f t="shared" si="9"/>
        <v/>
      </c>
      <c r="AA65" s="113" t="str">
        <f t="shared" si="10"/>
        <v/>
      </c>
      <c r="AB65" s="111" t="str">
        <f t="shared" si="11"/>
        <v/>
      </c>
      <c r="AC65" s="114" t="str">
        <f t="shared" si="12"/>
        <v/>
      </c>
      <c r="AD65" s="128" t="b">
        <f t="shared" ref="AD65" si="47">IFERROR(IF(OR(AND(AC65="Bajo",AC66="Bajo",AC67="Bajo"),AND(AC65="Bajo",AC66="Bajo",AC67=""),AND(AC65="Bajo",AC66="",AC67="")),"Bajo",IF(OR(AND(AC65="Bajo",AC66="Bajo",AC67="Moderado"),AND(AC65="Bajo",AC66="Moderado",AC67="Moderado"),AND(AC65="Moderado",AC66="Moderado",AC67="Moderado"),AND(AC65="Bajo",AC66="Moderado",AC67=""),AND(AC65="Moderado",AC66="Bajo",AC67=""),AND(AC65="Moderado",AC66="Moderado",AC67=""),AND(AC65="Moderado",AC66="",AC67="")),"Moderado",IF(OR(AND(AC65="Bajo",AC66="Bajo",AC67="Alto"),AND(AC65="Bajo",AC66="Moderado",AC67="Alto"),AND(AC65="Moderado",AC66="Bajo",AC67="Alto"),AND(AC65="Moderado",AC66="Alto",AC67="Bajo"),AND(AC65="Moderado",AC66="Moderado",AC67="Alto"),AND(AC65="Alto",AC66="Bajo",AC67="Bajo"),AND(AC65="Alto",AC66="Moderado",AC67="Bajo"),AND(AC65="Alto",AC66="Moderado",AC67="Moderado"),AND(AC65="Alto",AC66="Alto",AC67="Bajo"),AND(AC65="Alto",AC66="Alto",AC67="Moderado"),AND(AC65="Alto",AC66="Alto",AC67="Alto"),AND(AC65="Alto",AC66="Bajo",AC67=""),AND(AC65="Alto",AC66="Moderado",AC67=""),AND(AC65="Alto",AC66="Alto",AC67=""),AND(AC65="Bajo",AC66="Alto",AC67=""),AND(AC65="Moderado",AC66="Alto",AC67=""),AND(AC65="Alto",AC66="",AC67="")),"Alto",IF(OR(AND(AC65="Bajo",AC66="Bajo",AC67="Extremo"),AND(AC65="Bajo",AC66="Moderado",AC67="Extremo"),AND(AC65="Bajo",AC66="Alto",AC67="Extremo"),AND(AC65="Moderado",AC66="Bajo",AC67="Extremo"),AND(AC65="Moderado",AC66="Alto",AC67="Extremo"),AND(AC65="Moderado",AC66="Moderado",AC67="Extremo"),AND(AC65="Alto",AC66="Bajo",AC67="Extremo"),AND(AC65="Alto",AC66="Moderado",AC67="Extremo"),AND(AC65="Alto",AC66="Alto",AC67="Extremo"),AND(AC65="Extremo",AC66="Bajo",AC67="Bajo"),AND(AC65="Extremo",AC66="Bajo",AC67="Moderado"),AND(AC65="Extremo",AC66="Bajo",AC67="Alto"),AND(AC65="Extremo",AC66="Moderado",AC67="Bajo"),AND(AC65="Extremo",AC66="Moderado",AC67="Moderado"),AND(AC65="Extremo",AC66="Moderado",AC67="Alto"),AND(AC65="Extremo",AC66="Alto",AC67="Bajo"),AND(AC65="Extremo",AC66="Alto",AC67="Moderado"),AND(AC65="Extremo",AC66="Alto",AC67="Alto"),AND(AC65="Extremo",AC66="Extremo",AC67="Bajo"),AND(AC65="Extremo",AC66="Extremo",AC67="Moderado"),AND(AC65="Extremo",AC66="Extremo",AC67="Alto"),AND(AC65="Extremo",AC66="Extremo",AC67="Extremo"),AND(AC65="Extremo",AC66="Bajo",AC67=""),AND(AC65="Extremo",AC66="Moderado",AC67=""),AND(AC65="Extremo",AC66="Alto",AC67=""),AND(AC65="Extremo",AC66="",AC67="")),"Extremo")))),"")</f>
        <v>0</v>
      </c>
      <c r="AE65" s="125"/>
      <c r="AF65" s="107"/>
      <c r="AG65" s="107"/>
      <c r="AH65" s="109"/>
      <c r="AI65" s="109"/>
      <c r="AJ65" s="107"/>
      <c r="AK65" s="106"/>
    </row>
    <row r="66" spans="1:37" x14ac:dyDescent="0.2">
      <c r="A66" s="135"/>
      <c r="B66" s="132"/>
      <c r="C66" s="132"/>
      <c r="D66" s="132"/>
      <c r="E66" s="132"/>
      <c r="F66" s="132"/>
      <c r="G66" s="135"/>
      <c r="H66" s="138"/>
      <c r="I66" s="141"/>
      <c r="J66" s="144"/>
      <c r="K66" s="141"/>
      <c r="L66" s="138"/>
      <c r="M66" s="141"/>
      <c r="N66" s="147"/>
      <c r="O66" s="106">
        <v>2</v>
      </c>
      <c r="P66" s="120"/>
      <c r="Q66" s="110" t="str">
        <f t="shared" si="0"/>
        <v/>
      </c>
      <c r="R66" s="108"/>
      <c r="S66" s="108"/>
      <c r="T66" s="111" t="str">
        <f t="shared" si="6"/>
        <v/>
      </c>
      <c r="U66" s="121"/>
      <c r="V66" s="121"/>
      <c r="W66" s="121"/>
      <c r="X66" s="112" t="str">
        <f t="shared" si="7"/>
        <v/>
      </c>
      <c r="Y66" s="113" t="str">
        <f t="shared" si="8"/>
        <v/>
      </c>
      <c r="Z66" s="111" t="str">
        <f t="shared" si="9"/>
        <v/>
      </c>
      <c r="AA66" s="113" t="str">
        <f t="shared" si="10"/>
        <v/>
      </c>
      <c r="AB66" s="111" t="str">
        <f t="shared" si="11"/>
        <v/>
      </c>
      <c r="AC66" s="114" t="str">
        <f t="shared" si="12"/>
        <v/>
      </c>
      <c r="AD66" s="129"/>
      <c r="AE66" s="126"/>
      <c r="AF66" s="107"/>
      <c r="AG66" s="107"/>
      <c r="AH66" s="109"/>
      <c r="AI66" s="109"/>
      <c r="AJ66" s="107"/>
      <c r="AK66" s="106"/>
    </row>
    <row r="67" spans="1:37" x14ac:dyDescent="0.2">
      <c r="A67" s="135"/>
      <c r="B67" s="132"/>
      <c r="C67" s="132"/>
      <c r="D67" s="132"/>
      <c r="E67" s="132"/>
      <c r="F67" s="132"/>
      <c r="G67" s="135"/>
      <c r="H67" s="138"/>
      <c r="I67" s="141"/>
      <c r="J67" s="144"/>
      <c r="K67" s="141"/>
      <c r="L67" s="138"/>
      <c r="M67" s="141"/>
      <c r="N67" s="147"/>
      <c r="O67" s="106">
        <v>3</v>
      </c>
      <c r="P67" s="120"/>
      <c r="Q67" s="110" t="str">
        <f t="shared" si="0"/>
        <v/>
      </c>
      <c r="R67" s="108"/>
      <c r="S67" s="108"/>
      <c r="T67" s="111" t="str">
        <f t="shared" si="6"/>
        <v/>
      </c>
      <c r="U67" s="121"/>
      <c r="V67" s="121"/>
      <c r="W67" s="121"/>
      <c r="X67" s="112" t="str">
        <f t="shared" si="7"/>
        <v/>
      </c>
      <c r="Y67" s="113" t="str">
        <f t="shared" si="8"/>
        <v/>
      </c>
      <c r="Z67" s="111" t="str">
        <f t="shared" si="9"/>
        <v/>
      </c>
      <c r="AA67" s="113" t="str">
        <f t="shared" si="10"/>
        <v/>
      </c>
      <c r="AB67" s="111" t="str">
        <f t="shared" si="11"/>
        <v/>
      </c>
      <c r="AC67" s="114" t="str">
        <f t="shared" si="12"/>
        <v/>
      </c>
      <c r="AD67" s="129"/>
      <c r="AE67" s="127"/>
      <c r="AF67" s="107"/>
      <c r="AG67" s="107"/>
      <c r="AH67" s="109"/>
      <c r="AI67" s="109"/>
      <c r="AJ67" s="107"/>
      <c r="AK67" s="106"/>
    </row>
    <row r="68" spans="1:37" x14ac:dyDescent="0.2">
      <c r="A68" s="135"/>
      <c r="B68" s="132"/>
      <c r="C68" s="132"/>
      <c r="D68" s="132"/>
      <c r="E68" s="132"/>
      <c r="F68" s="132"/>
      <c r="G68" s="135"/>
      <c r="H68" s="138"/>
      <c r="I68" s="141"/>
      <c r="J68" s="144"/>
      <c r="K68" s="141"/>
      <c r="L68" s="138"/>
      <c r="M68" s="141"/>
      <c r="N68" s="147"/>
      <c r="O68" s="106">
        <v>4</v>
      </c>
      <c r="P68" s="120"/>
      <c r="Q68" s="110" t="str">
        <f t="shared" si="0"/>
        <v/>
      </c>
      <c r="R68" s="108"/>
      <c r="S68" s="108"/>
      <c r="T68" s="111" t="str">
        <f t="shared" si="6"/>
        <v/>
      </c>
      <c r="U68" s="121"/>
      <c r="V68" s="121"/>
      <c r="W68" s="121"/>
      <c r="X68" s="112" t="str">
        <f t="shared" si="7"/>
        <v/>
      </c>
      <c r="Y68" s="113" t="str">
        <f t="shared" si="8"/>
        <v/>
      </c>
      <c r="Z68" s="111" t="str">
        <f t="shared" si="9"/>
        <v/>
      </c>
      <c r="AA68" s="113" t="str">
        <f t="shared" si="10"/>
        <v/>
      </c>
      <c r="AB68" s="111" t="str">
        <f t="shared" si="11"/>
        <v/>
      </c>
      <c r="AC68" s="114" t="str">
        <f t="shared" si="12"/>
        <v/>
      </c>
      <c r="AD68" s="129"/>
      <c r="AE68" s="108"/>
      <c r="AF68" s="107"/>
      <c r="AG68" s="107"/>
      <c r="AH68" s="109"/>
      <c r="AI68" s="109"/>
      <c r="AJ68" s="107"/>
      <c r="AK68" s="106"/>
    </row>
    <row r="69" spans="1:37" x14ac:dyDescent="0.2">
      <c r="A69" s="135"/>
      <c r="B69" s="132"/>
      <c r="C69" s="132"/>
      <c r="D69" s="132"/>
      <c r="E69" s="132"/>
      <c r="F69" s="132"/>
      <c r="G69" s="135"/>
      <c r="H69" s="138"/>
      <c r="I69" s="141"/>
      <c r="J69" s="144"/>
      <c r="K69" s="141"/>
      <c r="L69" s="138"/>
      <c r="M69" s="141"/>
      <c r="N69" s="147"/>
      <c r="O69" s="106">
        <v>5</v>
      </c>
      <c r="P69" s="120"/>
      <c r="Q69" s="110" t="str">
        <f t="shared" si="0"/>
        <v/>
      </c>
      <c r="R69" s="108"/>
      <c r="S69" s="108"/>
      <c r="T69" s="111" t="str">
        <f t="shared" si="6"/>
        <v/>
      </c>
      <c r="U69" s="121"/>
      <c r="V69" s="121"/>
      <c r="W69" s="121"/>
      <c r="X69" s="112" t="str">
        <f t="shared" si="7"/>
        <v/>
      </c>
      <c r="Y69" s="113" t="str">
        <f t="shared" si="8"/>
        <v/>
      </c>
      <c r="Z69" s="111" t="str">
        <f t="shared" si="9"/>
        <v/>
      </c>
      <c r="AA69" s="113" t="str">
        <f t="shared" si="10"/>
        <v/>
      </c>
      <c r="AB69" s="111" t="str">
        <f t="shared" si="11"/>
        <v/>
      </c>
      <c r="AC69" s="114" t="str">
        <f t="shared" si="12"/>
        <v/>
      </c>
      <c r="AD69" s="129"/>
      <c r="AE69" s="108"/>
      <c r="AF69" s="107"/>
      <c r="AG69" s="107"/>
      <c r="AH69" s="109"/>
      <c r="AI69" s="109"/>
      <c r="AJ69" s="107"/>
      <c r="AK69" s="106"/>
    </row>
    <row r="70" spans="1:37" x14ac:dyDescent="0.2">
      <c r="A70" s="135"/>
      <c r="B70" s="132"/>
      <c r="C70" s="132"/>
      <c r="D70" s="132"/>
      <c r="E70" s="132"/>
      <c r="F70" s="132"/>
      <c r="G70" s="135"/>
      <c r="H70" s="138"/>
      <c r="I70" s="141"/>
      <c r="J70" s="144"/>
      <c r="K70" s="141"/>
      <c r="L70" s="138"/>
      <c r="M70" s="141"/>
      <c r="N70" s="147"/>
      <c r="O70" s="106">
        <v>6</v>
      </c>
      <c r="P70" s="120"/>
      <c r="Q70" s="110" t="str">
        <f t="shared" si="0"/>
        <v/>
      </c>
      <c r="R70" s="108"/>
      <c r="S70" s="108"/>
      <c r="T70" s="111" t="str">
        <f t="shared" si="6"/>
        <v/>
      </c>
      <c r="U70" s="121"/>
      <c r="V70" s="121"/>
      <c r="W70" s="121"/>
      <c r="X70" s="112" t="str">
        <f t="shared" si="7"/>
        <v/>
      </c>
      <c r="Y70" s="113" t="str">
        <f t="shared" si="8"/>
        <v/>
      </c>
      <c r="Z70" s="111" t="str">
        <f t="shared" si="9"/>
        <v/>
      </c>
      <c r="AA70" s="113" t="str">
        <f t="shared" si="10"/>
        <v/>
      </c>
      <c r="AB70" s="111" t="str">
        <f t="shared" si="11"/>
        <v/>
      </c>
      <c r="AC70" s="114" t="str">
        <f t="shared" si="12"/>
        <v/>
      </c>
      <c r="AD70" s="129"/>
      <c r="AE70" s="108"/>
      <c r="AF70" s="107"/>
      <c r="AG70" s="107"/>
      <c r="AH70" s="109"/>
      <c r="AI70" s="109"/>
      <c r="AJ70" s="107"/>
      <c r="AK70" s="106"/>
    </row>
    <row r="71" spans="1:37" x14ac:dyDescent="0.2">
      <c r="A71" s="136"/>
      <c r="B71" s="133"/>
      <c r="C71" s="133"/>
      <c r="D71" s="133"/>
      <c r="E71" s="133"/>
      <c r="F71" s="133"/>
      <c r="G71" s="136"/>
      <c r="H71" s="139"/>
      <c r="I71" s="142"/>
      <c r="J71" s="145"/>
      <c r="K71" s="142"/>
      <c r="L71" s="139"/>
      <c r="M71" s="142"/>
      <c r="N71" s="148"/>
      <c r="O71" s="106">
        <v>7</v>
      </c>
      <c r="P71" s="120"/>
      <c r="Q71" s="110" t="str">
        <f t="shared" si="0"/>
        <v/>
      </c>
      <c r="R71" s="108"/>
      <c r="S71" s="108"/>
      <c r="T71" s="111" t="str">
        <f t="shared" si="6"/>
        <v/>
      </c>
      <c r="U71" s="121"/>
      <c r="V71" s="121"/>
      <c r="W71" s="121"/>
      <c r="X71" s="112" t="str">
        <f t="shared" si="7"/>
        <v/>
      </c>
      <c r="Y71" s="113" t="str">
        <f t="shared" si="8"/>
        <v/>
      </c>
      <c r="Z71" s="111" t="str">
        <f t="shared" si="9"/>
        <v/>
      </c>
      <c r="AA71" s="113" t="str">
        <f t="shared" si="10"/>
        <v/>
      </c>
      <c r="AB71" s="111" t="str">
        <f t="shared" si="11"/>
        <v/>
      </c>
      <c r="AC71" s="114" t="str">
        <f t="shared" si="12"/>
        <v/>
      </c>
      <c r="AD71" s="130"/>
      <c r="AE71" s="108"/>
      <c r="AF71" s="107"/>
      <c r="AG71" s="107"/>
      <c r="AH71" s="109"/>
      <c r="AI71" s="109"/>
      <c r="AJ71" s="107"/>
      <c r="AK71" s="106"/>
    </row>
    <row r="72" spans="1:37" ht="16.5" customHeight="1" x14ac:dyDescent="0.2">
      <c r="A72" s="134">
        <v>9</v>
      </c>
      <c r="B72" s="131"/>
      <c r="C72" s="131"/>
      <c r="D72" s="131"/>
      <c r="E72" s="131"/>
      <c r="F72" s="131"/>
      <c r="G72" s="134"/>
      <c r="H72" s="137" t="str">
        <f t="shared" ref="H72" si="48">IF(G72&lt;=0,"",IF(G72&lt;=2,"Muy Baja",IF(G72&lt;=24,"Baja",IF(G72&lt;=500,"Media",IF(G72&lt;=5000,"Alta","Muy Alta")))))</f>
        <v/>
      </c>
      <c r="I72" s="140" t="str">
        <f t="shared" ref="I72" si="49">IF(H72="","",IF(H72="Muy Baja",0.2,IF(H72="Baja",0.4,IF(H72="Media",0.6,IF(H72="Alta",0.8,IF(H72="Muy Alta",1,))))))</f>
        <v/>
      </c>
      <c r="J72" s="143"/>
      <c r="K72" s="140">
        <f>IF(NOT(ISERROR(MATCH(J72,'[1]Tabla Impacto'!$B$221:$B$223,0))),'[1]Tabla Impacto'!$F$223&amp;"Por favor no seleccionar los criterios de impacto(Afectación Económica o presupuestal y Pérdida Reputacional)",J72)</f>
        <v>0</v>
      </c>
      <c r="L72" s="137" t="str">
        <f>IF(OR(K72='[1]Tabla Impacto'!$C$11,K72='[1]Tabla Impacto'!$D$11),"Leve",IF(OR(K72='[1]Tabla Impacto'!$C$12,K72='[1]Tabla Impacto'!$D$12),"Menor",IF(OR(K72='[1]Tabla Impacto'!$C$13,K72='[1]Tabla Impacto'!$D$13),"Moderado",IF(OR(K72='[1]Tabla Impacto'!$C$14,K72='[1]Tabla Impacto'!$D$14),"Mayor",IF(OR(K72='[1]Tabla Impacto'!$C$15,K72='[1]Tabla Impacto'!$D$15),"Catastrófico","")))))</f>
        <v/>
      </c>
      <c r="M72" s="140" t="str">
        <f t="shared" ref="M72" si="50">IF(L72="","",IF(L72="Leve",0.2,IF(L72="Menor",0.4,IF(L72="Moderado",0.6,IF(L72="Mayor",0.8,IF(L72="Catastrófico",1,))))))</f>
        <v/>
      </c>
      <c r="N72" s="146" t="str">
        <f t="shared" ref="N72" si="51">IF(OR(AND(H72="Muy Baja",L72="Leve"),AND(H72="Muy Baja",L72="Menor"),AND(H72="Baja",L72="Leve")),"Bajo",IF(OR(AND(H72="Muy baja",L72="Moderado"),AND(H72="Baja",L72="Menor"),AND(H72="Baja",L72="Moderado"),AND(H72="Media",L72="Leve"),AND(H72="Media",L72="Menor"),AND(H72="Media",L72="Moderado"),AND(H72="Alta",L72="Leve"),AND(H72="Alta",L72="Menor")),"Moderado",IF(OR(AND(H72="Muy Baja",L72="Mayor"),AND(H72="Baja",L72="Mayor"),AND(H72="Media",L72="Mayor"),AND(H72="Alta",L72="Moderado"),AND(H72="Alta",L72="Mayor"),AND(H72="Muy Alta",L72="Leve"),AND(H72="Muy Alta",L72="Menor"),AND(H72="Muy Alta",L72="Moderado"),AND(H72="Muy Alta",L72="Mayor")),"Alto",IF(OR(AND(H72="Muy Baja",L72="Catastrófico"),AND(H72="Baja",L72="Catastrófico"),AND(H72="Media",L72="Catastrófico"),AND(H72="Alta",L72="Catastrófico"),AND(H72="Muy Alta",L72="Catastrófico")),"Extremo",""))))</f>
        <v/>
      </c>
      <c r="O72" s="106">
        <v>1</v>
      </c>
      <c r="P72" s="120"/>
      <c r="Q72" s="110" t="str">
        <f t="shared" si="0"/>
        <v/>
      </c>
      <c r="R72" s="108"/>
      <c r="S72" s="108"/>
      <c r="T72" s="111" t="str">
        <f t="shared" si="6"/>
        <v/>
      </c>
      <c r="U72" s="121"/>
      <c r="V72" s="121"/>
      <c r="W72" s="121"/>
      <c r="X72" s="112" t="str">
        <f t="shared" si="7"/>
        <v/>
      </c>
      <c r="Y72" s="113" t="str">
        <f t="shared" si="8"/>
        <v/>
      </c>
      <c r="Z72" s="111" t="str">
        <f t="shared" si="9"/>
        <v/>
      </c>
      <c r="AA72" s="113" t="str">
        <f t="shared" si="10"/>
        <v/>
      </c>
      <c r="AB72" s="111" t="str">
        <f t="shared" si="11"/>
        <v/>
      </c>
      <c r="AC72" s="114" t="str">
        <f t="shared" si="12"/>
        <v/>
      </c>
      <c r="AD72" s="128" t="b">
        <f t="shared" ref="AD72" si="52">IFERROR(IF(OR(AND(AC72="Bajo",AC73="Bajo",AC74="Bajo"),AND(AC72="Bajo",AC73="Bajo",AC74=""),AND(AC72="Bajo",AC73="",AC74="")),"Bajo",IF(OR(AND(AC72="Bajo",AC73="Bajo",AC74="Moderado"),AND(AC72="Bajo",AC73="Moderado",AC74="Moderado"),AND(AC72="Moderado",AC73="Moderado",AC74="Moderado"),AND(AC72="Bajo",AC73="Moderado",AC74=""),AND(AC72="Moderado",AC73="Bajo",AC74=""),AND(AC72="Moderado",AC73="Moderado",AC74=""),AND(AC72="Moderado",AC73="",AC74="")),"Moderado",IF(OR(AND(AC72="Bajo",AC73="Bajo",AC74="Alto"),AND(AC72="Bajo",AC73="Moderado",AC74="Alto"),AND(AC72="Moderado",AC73="Bajo",AC74="Alto"),AND(AC72="Moderado",AC73="Alto",AC74="Bajo"),AND(AC72="Moderado",AC73="Moderado",AC74="Alto"),AND(AC72="Alto",AC73="Bajo",AC74="Bajo"),AND(AC72="Alto",AC73="Moderado",AC74="Bajo"),AND(AC72="Alto",AC73="Moderado",AC74="Moderado"),AND(AC72="Alto",AC73="Alto",AC74="Bajo"),AND(AC72="Alto",AC73="Alto",AC74="Moderado"),AND(AC72="Alto",AC73="Alto",AC74="Alto"),AND(AC72="Alto",AC73="Bajo",AC74=""),AND(AC72="Alto",AC73="Moderado",AC74=""),AND(AC72="Alto",AC73="Alto",AC74=""),AND(AC72="Bajo",AC73="Alto",AC74=""),AND(AC72="Moderado",AC73="Alto",AC74=""),AND(AC72="Alto",AC73="",AC74="")),"Alto",IF(OR(AND(AC72="Bajo",AC73="Bajo",AC74="Extremo"),AND(AC72="Bajo",AC73="Moderado",AC74="Extremo"),AND(AC72="Bajo",AC73="Alto",AC74="Extremo"),AND(AC72="Moderado",AC73="Bajo",AC74="Extremo"),AND(AC72="Moderado",AC73="Alto",AC74="Extremo"),AND(AC72="Moderado",AC73="Moderado",AC74="Extremo"),AND(AC72="Alto",AC73="Bajo",AC74="Extremo"),AND(AC72="Alto",AC73="Moderado",AC74="Extremo"),AND(AC72="Alto",AC73="Alto",AC74="Extremo"),AND(AC72="Extremo",AC73="Bajo",AC74="Bajo"),AND(AC72="Extremo",AC73="Bajo",AC74="Moderado"),AND(AC72="Extremo",AC73="Bajo",AC74="Alto"),AND(AC72="Extremo",AC73="Moderado",AC74="Bajo"),AND(AC72="Extremo",AC73="Moderado",AC74="Moderado"),AND(AC72="Extremo",AC73="Moderado",AC74="Alto"),AND(AC72="Extremo",AC73="Alto",AC74="Bajo"),AND(AC72="Extremo",AC73="Alto",AC74="Moderado"),AND(AC72="Extremo",AC73="Alto",AC74="Alto"),AND(AC72="Extremo",AC73="Extremo",AC74="Bajo"),AND(AC72="Extremo",AC73="Extremo",AC74="Moderado"),AND(AC72="Extremo",AC73="Extremo",AC74="Alto"),AND(AC72="Extremo",AC73="Extremo",AC74="Extremo"),AND(AC72="Extremo",AC73="Bajo",AC74=""),AND(AC72="Extremo",AC73="Moderado",AC74=""),AND(AC72="Extremo",AC73="Alto",AC74=""),AND(AC72="Extremo",AC73="",AC74="")),"Extremo")))),"")</f>
        <v>0</v>
      </c>
      <c r="AE72" s="125"/>
      <c r="AF72" s="107"/>
      <c r="AG72" s="107"/>
      <c r="AH72" s="109"/>
      <c r="AI72" s="109"/>
      <c r="AJ72" s="107"/>
      <c r="AK72" s="106"/>
    </row>
    <row r="73" spans="1:37" x14ac:dyDescent="0.2">
      <c r="A73" s="135"/>
      <c r="B73" s="132"/>
      <c r="C73" s="132"/>
      <c r="D73" s="132"/>
      <c r="E73" s="132"/>
      <c r="F73" s="132"/>
      <c r="G73" s="135"/>
      <c r="H73" s="138"/>
      <c r="I73" s="141"/>
      <c r="J73" s="144"/>
      <c r="K73" s="141"/>
      <c r="L73" s="138"/>
      <c r="M73" s="141"/>
      <c r="N73" s="147"/>
      <c r="O73" s="106">
        <v>2</v>
      </c>
      <c r="P73" s="120"/>
      <c r="Q73" s="110" t="str">
        <f t="shared" si="0"/>
        <v/>
      </c>
      <c r="R73" s="108"/>
      <c r="S73" s="108"/>
      <c r="T73" s="111" t="str">
        <f t="shared" si="6"/>
        <v/>
      </c>
      <c r="U73" s="121"/>
      <c r="V73" s="121"/>
      <c r="W73" s="121"/>
      <c r="X73" s="112" t="str">
        <f t="shared" si="7"/>
        <v/>
      </c>
      <c r="Y73" s="113" t="str">
        <f t="shared" si="8"/>
        <v/>
      </c>
      <c r="Z73" s="111" t="str">
        <f t="shared" si="9"/>
        <v/>
      </c>
      <c r="AA73" s="113" t="str">
        <f t="shared" si="10"/>
        <v/>
      </c>
      <c r="AB73" s="111" t="str">
        <f t="shared" si="11"/>
        <v/>
      </c>
      <c r="AC73" s="114" t="str">
        <f t="shared" si="12"/>
        <v/>
      </c>
      <c r="AD73" s="129"/>
      <c r="AE73" s="126"/>
      <c r="AF73" s="107"/>
      <c r="AG73" s="107"/>
      <c r="AH73" s="109"/>
      <c r="AI73" s="109"/>
      <c r="AJ73" s="107"/>
      <c r="AK73" s="106"/>
    </row>
    <row r="74" spans="1:37" x14ac:dyDescent="0.2">
      <c r="A74" s="135"/>
      <c r="B74" s="132"/>
      <c r="C74" s="132"/>
      <c r="D74" s="132"/>
      <c r="E74" s="132"/>
      <c r="F74" s="132"/>
      <c r="G74" s="135"/>
      <c r="H74" s="138"/>
      <c r="I74" s="141"/>
      <c r="J74" s="144"/>
      <c r="K74" s="141"/>
      <c r="L74" s="138"/>
      <c r="M74" s="141"/>
      <c r="N74" s="147"/>
      <c r="O74" s="106">
        <v>3</v>
      </c>
      <c r="P74" s="120"/>
      <c r="Q74" s="110" t="str">
        <f t="shared" si="0"/>
        <v/>
      </c>
      <c r="R74" s="108"/>
      <c r="S74" s="108"/>
      <c r="T74" s="111" t="str">
        <f t="shared" si="6"/>
        <v/>
      </c>
      <c r="U74" s="121"/>
      <c r="V74" s="121"/>
      <c r="W74" s="121"/>
      <c r="X74" s="112" t="str">
        <f t="shared" si="7"/>
        <v/>
      </c>
      <c r="Y74" s="113" t="str">
        <f t="shared" si="8"/>
        <v/>
      </c>
      <c r="Z74" s="111" t="str">
        <f t="shared" si="9"/>
        <v/>
      </c>
      <c r="AA74" s="113" t="str">
        <f t="shared" si="10"/>
        <v/>
      </c>
      <c r="AB74" s="111" t="str">
        <f t="shared" si="11"/>
        <v/>
      </c>
      <c r="AC74" s="114" t="str">
        <f t="shared" si="12"/>
        <v/>
      </c>
      <c r="AD74" s="129"/>
      <c r="AE74" s="127"/>
      <c r="AF74" s="107"/>
      <c r="AG74" s="107"/>
      <c r="AH74" s="109"/>
      <c r="AI74" s="109"/>
      <c r="AJ74" s="107"/>
      <c r="AK74" s="106"/>
    </row>
    <row r="75" spans="1:37" ht="18.75" customHeight="1" x14ac:dyDescent="0.2">
      <c r="A75" s="135"/>
      <c r="B75" s="132"/>
      <c r="C75" s="132"/>
      <c r="D75" s="132"/>
      <c r="E75" s="132"/>
      <c r="F75" s="132"/>
      <c r="G75" s="135"/>
      <c r="H75" s="138"/>
      <c r="I75" s="141"/>
      <c r="J75" s="144"/>
      <c r="K75" s="141"/>
      <c r="L75" s="138"/>
      <c r="M75" s="141"/>
      <c r="N75" s="147"/>
      <c r="O75" s="106">
        <v>4</v>
      </c>
      <c r="P75" s="120"/>
      <c r="Q75" s="110" t="str">
        <f t="shared" si="0"/>
        <v/>
      </c>
      <c r="R75" s="108"/>
      <c r="S75" s="108"/>
      <c r="T75" s="111" t="str">
        <f t="shared" si="6"/>
        <v/>
      </c>
      <c r="U75" s="121"/>
      <c r="V75" s="121"/>
      <c r="W75" s="121"/>
      <c r="X75" s="112" t="str">
        <f t="shared" si="7"/>
        <v/>
      </c>
      <c r="Y75" s="113" t="str">
        <f t="shared" si="8"/>
        <v/>
      </c>
      <c r="Z75" s="111" t="str">
        <f t="shared" si="9"/>
        <v/>
      </c>
      <c r="AA75" s="113" t="str">
        <f t="shared" si="10"/>
        <v/>
      </c>
      <c r="AB75" s="111" t="str">
        <f t="shared" si="11"/>
        <v/>
      </c>
      <c r="AC75" s="114" t="str">
        <f t="shared" si="12"/>
        <v/>
      </c>
      <c r="AD75" s="129"/>
      <c r="AE75" s="108"/>
      <c r="AF75" s="107"/>
      <c r="AG75" s="107"/>
      <c r="AH75" s="109"/>
      <c r="AI75" s="109"/>
      <c r="AJ75" s="107"/>
      <c r="AK75" s="106"/>
    </row>
    <row r="76" spans="1:37" ht="18.75" customHeight="1" x14ac:dyDescent="0.2">
      <c r="A76" s="135"/>
      <c r="B76" s="132"/>
      <c r="C76" s="132"/>
      <c r="D76" s="132"/>
      <c r="E76" s="132"/>
      <c r="F76" s="132"/>
      <c r="G76" s="135"/>
      <c r="H76" s="138"/>
      <c r="I76" s="141"/>
      <c r="J76" s="144"/>
      <c r="K76" s="141"/>
      <c r="L76" s="138"/>
      <c r="M76" s="141"/>
      <c r="N76" s="147"/>
      <c r="O76" s="106">
        <v>5</v>
      </c>
      <c r="P76" s="120"/>
      <c r="Q76" s="110" t="str">
        <f t="shared" si="0"/>
        <v/>
      </c>
      <c r="R76" s="108"/>
      <c r="S76" s="108"/>
      <c r="T76" s="111" t="str">
        <f t="shared" si="6"/>
        <v/>
      </c>
      <c r="U76" s="121"/>
      <c r="V76" s="121"/>
      <c r="W76" s="121"/>
      <c r="X76" s="112" t="str">
        <f t="shared" si="7"/>
        <v/>
      </c>
      <c r="Y76" s="113" t="str">
        <f t="shared" si="8"/>
        <v/>
      </c>
      <c r="Z76" s="111" t="str">
        <f t="shared" si="9"/>
        <v/>
      </c>
      <c r="AA76" s="113" t="str">
        <f t="shared" si="10"/>
        <v/>
      </c>
      <c r="AB76" s="111" t="str">
        <f t="shared" si="11"/>
        <v/>
      </c>
      <c r="AC76" s="114" t="str">
        <f t="shared" si="12"/>
        <v/>
      </c>
      <c r="AD76" s="129"/>
      <c r="AE76" s="108"/>
      <c r="AF76" s="107"/>
      <c r="AG76" s="107"/>
      <c r="AH76" s="109"/>
      <c r="AI76" s="109"/>
      <c r="AJ76" s="107"/>
      <c r="AK76" s="106"/>
    </row>
    <row r="77" spans="1:37" ht="18.75" customHeight="1" x14ac:dyDescent="0.2">
      <c r="A77" s="135"/>
      <c r="B77" s="132"/>
      <c r="C77" s="132"/>
      <c r="D77" s="132"/>
      <c r="E77" s="132"/>
      <c r="F77" s="132"/>
      <c r="G77" s="135"/>
      <c r="H77" s="138"/>
      <c r="I77" s="141"/>
      <c r="J77" s="144"/>
      <c r="K77" s="141"/>
      <c r="L77" s="138"/>
      <c r="M77" s="141"/>
      <c r="N77" s="147"/>
      <c r="O77" s="106">
        <v>6</v>
      </c>
      <c r="P77" s="120"/>
      <c r="Q77" s="110" t="str">
        <f t="shared" si="0"/>
        <v/>
      </c>
      <c r="R77" s="108"/>
      <c r="S77" s="108"/>
      <c r="T77" s="111" t="str">
        <f t="shared" si="6"/>
        <v/>
      </c>
      <c r="U77" s="121"/>
      <c r="V77" s="121"/>
      <c r="W77" s="121"/>
      <c r="X77" s="112" t="str">
        <f t="shared" si="7"/>
        <v/>
      </c>
      <c r="Y77" s="113" t="str">
        <f t="shared" si="8"/>
        <v/>
      </c>
      <c r="Z77" s="111" t="str">
        <f t="shared" si="9"/>
        <v/>
      </c>
      <c r="AA77" s="113" t="str">
        <f t="shared" si="10"/>
        <v/>
      </c>
      <c r="AB77" s="111" t="str">
        <f t="shared" si="11"/>
        <v/>
      </c>
      <c r="AC77" s="114" t="str">
        <f t="shared" si="12"/>
        <v/>
      </c>
      <c r="AD77" s="129"/>
      <c r="AE77" s="108"/>
      <c r="AF77" s="107"/>
      <c r="AG77" s="107"/>
      <c r="AH77" s="109"/>
      <c r="AI77" s="109"/>
      <c r="AJ77" s="107"/>
      <c r="AK77" s="106"/>
    </row>
    <row r="78" spans="1:37" ht="18.75" customHeight="1" x14ac:dyDescent="0.2">
      <c r="A78" s="136"/>
      <c r="B78" s="133"/>
      <c r="C78" s="133"/>
      <c r="D78" s="133"/>
      <c r="E78" s="133"/>
      <c r="F78" s="133"/>
      <c r="G78" s="136"/>
      <c r="H78" s="139"/>
      <c r="I78" s="142"/>
      <c r="J78" s="145"/>
      <c r="K78" s="142"/>
      <c r="L78" s="139"/>
      <c r="M78" s="142"/>
      <c r="N78" s="148"/>
      <c r="O78" s="106">
        <v>7</v>
      </c>
      <c r="P78" s="120"/>
      <c r="Q78" s="110" t="str">
        <f t="shared" si="0"/>
        <v/>
      </c>
      <c r="R78" s="108"/>
      <c r="S78" s="108"/>
      <c r="T78" s="111" t="str">
        <f t="shared" si="6"/>
        <v/>
      </c>
      <c r="U78" s="121"/>
      <c r="V78" s="121"/>
      <c r="W78" s="121"/>
      <c r="X78" s="112" t="str">
        <f t="shared" si="7"/>
        <v/>
      </c>
      <c r="Y78" s="113" t="str">
        <f t="shared" si="8"/>
        <v/>
      </c>
      <c r="Z78" s="111" t="str">
        <f t="shared" si="9"/>
        <v/>
      </c>
      <c r="AA78" s="113" t="str">
        <f t="shared" si="10"/>
        <v/>
      </c>
      <c r="AB78" s="111" t="str">
        <f t="shared" si="11"/>
        <v/>
      </c>
      <c r="AC78" s="114" t="str">
        <f t="shared" si="12"/>
        <v/>
      </c>
      <c r="AD78" s="130"/>
      <c r="AE78" s="108"/>
      <c r="AF78" s="107"/>
      <c r="AG78" s="107"/>
      <c r="AH78" s="109"/>
      <c r="AI78" s="109"/>
      <c r="AJ78" s="107"/>
      <c r="AK78" s="106"/>
    </row>
    <row r="79" spans="1:37" ht="16.5" customHeight="1" x14ac:dyDescent="0.2">
      <c r="A79" s="134">
        <v>10</v>
      </c>
      <c r="B79" s="131"/>
      <c r="C79" s="131"/>
      <c r="D79" s="131"/>
      <c r="E79" s="131"/>
      <c r="F79" s="131"/>
      <c r="G79" s="134"/>
      <c r="H79" s="137" t="str">
        <f t="shared" ref="H79" si="53">IF(G79&lt;=0,"",IF(G79&lt;=2,"Muy Baja",IF(G79&lt;=24,"Baja",IF(G79&lt;=500,"Media",IF(G79&lt;=5000,"Alta","Muy Alta")))))</f>
        <v/>
      </c>
      <c r="I79" s="140" t="str">
        <f t="shared" ref="I79" si="54">IF(H79="","",IF(H79="Muy Baja",0.2,IF(H79="Baja",0.4,IF(H79="Media",0.6,IF(H79="Alta",0.8,IF(H79="Muy Alta",1,))))))</f>
        <v/>
      </c>
      <c r="J79" s="143"/>
      <c r="K79" s="140">
        <f>IF(NOT(ISERROR(MATCH(J79,'[1]Tabla Impacto'!$B$221:$B$223,0))),'[1]Tabla Impacto'!$F$223&amp;"Por favor no seleccionar los criterios de impacto(Afectación Económica o presupuestal y Pérdida Reputacional)",J79)</f>
        <v>0</v>
      </c>
      <c r="L79" s="137" t="str">
        <f>IF(OR(K79='[1]Tabla Impacto'!$C$11,K79='[1]Tabla Impacto'!$D$11),"Leve",IF(OR(K79='[1]Tabla Impacto'!$C$12,K79='[1]Tabla Impacto'!$D$12),"Menor",IF(OR(K79='[1]Tabla Impacto'!$C$13,K79='[1]Tabla Impacto'!$D$13),"Moderado",IF(OR(K79='[1]Tabla Impacto'!$C$14,K79='[1]Tabla Impacto'!$D$14),"Mayor",IF(OR(K79='[1]Tabla Impacto'!$C$15,K79='[1]Tabla Impacto'!$D$15),"Catastrófico","")))))</f>
        <v/>
      </c>
      <c r="M79" s="140" t="str">
        <f t="shared" ref="M79" si="55">IF(L79="","",IF(L79="Leve",0.2,IF(L79="Menor",0.4,IF(L79="Moderado",0.6,IF(L79="Mayor",0.8,IF(L79="Catastrófico",1,))))))</f>
        <v/>
      </c>
      <c r="N79" s="146" t="str">
        <f t="shared" ref="N79" si="56">IF(OR(AND(H79="Muy Baja",L79="Leve"),AND(H79="Muy Baja",L79="Menor"),AND(H79="Baja",L79="Leve")),"Bajo",IF(OR(AND(H79="Muy baja",L79="Moderado"),AND(H79="Baja",L79="Menor"),AND(H79="Baja",L79="Moderado"),AND(H79="Media",L79="Leve"),AND(H79="Media",L79="Menor"),AND(H79="Media",L79="Moderado"),AND(H79="Alta",L79="Leve"),AND(H79="Alta",L79="Menor")),"Moderado",IF(OR(AND(H79="Muy Baja",L79="Mayor"),AND(H79="Baja",L79="Mayor"),AND(H79="Media",L79="Mayor"),AND(H79="Alta",L79="Moderado"),AND(H79="Alta",L79="Mayor"),AND(H79="Muy Alta",L79="Leve"),AND(H79="Muy Alta",L79="Menor"),AND(H79="Muy Alta",L79="Moderado"),AND(H79="Muy Alta",L79="Mayor")),"Alto",IF(OR(AND(H79="Muy Baja",L79="Catastrófico"),AND(H79="Baja",L79="Catastrófico"),AND(H79="Media",L79="Catastrófico"),AND(H79="Alta",L79="Catastrófico"),AND(H79="Muy Alta",L79="Catastrófico")),"Extremo",""))))</f>
        <v/>
      </c>
      <c r="O79" s="106">
        <v>1</v>
      </c>
      <c r="P79" s="120"/>
      <c r="Q79" s="110" t="str">
        <f t="shared" si="0"/>
        <v/>
      </c>
      <c r="R79" s="108"/>
      <c r="S79" s="108"/>
      <c r="T79" s="111" t="str">
        <f t="shared" si="6"/>
        <v/>
      </c>
      <c r="U79" s="121"/>
      <c r="V79" s="121"/>
      <c r="W79" s="121"/>
      <c r="X79" s="112" t="str">
        <f t="shared" si="7"/>
        <v/>
      </c>
      <c r="Y79" s="113" t="str">
        <f t="shared" si="8"/>
        <v/>
      </c>
      <c r="Z79" s="111" t="str">
        <f t="shared" si="9"/>
        <v/>
      </c>
      <c r="AA79" s="113" t="str">
        <f t="shared" si="10"/>
        <v/>
      </c>
      <c r="AB79" s="111" t="str">
        <f t="shared" si="11"/>
        <v/>
      </c>
      <c r="AC79" s="114" t="str">
        <f t="shared" si="12"/>
        <v/>
      </c>
      <c r="AD79" s="128" t="b">
        <f t="shared" ref="AD79" si="57">IFERROR(IF(OR(AND(AC79="Bajo",AC80="Bajo",AC81="Bajo"),AND(AC79="Bajo",AC80="Bajo",AC81=""),AND(AC79="Bajo",AC80="",AC81="")),"Bajo",IF(OR(AND(AC79="Bajo",AC80="Bajo",AC81="Moderado"),AND(AC79="Bajo",AC80="Moderado",AC81="Moderado"),AND(AC79="Moderado",AC80="Moderado",AC81="Moderado"),AND(AC79="Bajo",AC80="Moderado",AC81=""),AND(AC79="Moderado",AC80="Bajo",AC81=""),AND(AC79="Moderado",AC80="Moderado",AC81=""),AND(AC79="Moderado",AC80="",AC81="")),"Moderado",IF(OR(AND(AC79="Bajo",AC80="Bajo",AC81="Alto"),AND(AC79="Bajo",AC80="Moderado",AC81="Alto"),AND(AC79="Moderado",AC80="Bajo",AC81="Alto"),AND(AC79="Moderado",AC80="Alto",AC81="Bajo"),AND(AC79="Moderado",AC80="Moderado",AC81="Alto"),AND(AC79="Alto",AC80="Bajo",AC81="Bajo"),AND(AC79="Alto",AC80="Moderado",AC81="Bajo"),AND(AC79="Alto",AC80="Moderado",AC81="Moderado"),AND(AC79="Alto",AC80="Alto",AC81="Bajo"),AND(AC79="Alto",AC80="Alto",AC81="Moderado"),AND(AC79="Alto",AC80="Alto",AC81="Alto"),AND(AC79="Alto",AC80="Bajo",AC81=""),AND(AC79="Alto",AC80="Moderado",AC81=""),AND(AC79="Alto",AC80="Alto",AC81=""),AND(AC79="Bajo",AC80="Alto",AC81=""),AND(AC79="Moderado",AC80="Alto",AC81=""),AND(AC79="Alto",AC80="",AC81="")),"Alto",IF(OR(AND(AC79="Bajo",AC80="Bajo",AC81="Extremo"),AND(AC79="Bajo",AC80="Moderado",AC81="Extremo"),AND(AC79="Bajo",AC80="Alto",AC81="Extremo"),AND(AC79="Moderado",AC80="Bajo",AC81="Extremo"),AND(AC79="Moderado",AC80="Alto",AC81="Extremo"),AND(AC79="Moderado",AC80="Moderado",AC81="Extremo"),AND(AC79="Alto",AC80="Bajo",AC81="Extremo"),AND(AC79="Alto",AC80="Moderado",AC81="Extremo"),AND(AC79="Alto",AC80="Alto",AC81="Extremo"),AND(AC79="Extremo",AC80="Bajo",AC81="Bajo"),AND(AC79="Extremo",AC80="Bajo",AC81="Moderado"),AND(AC79="Extremo",AC80="Bajo",AC81="Alto"),AND(AC79="Extremo",AC80="Moderado",AC81="Bajo"),AND(AC79="Extremo",AC80="Moderado",AC81="Moderado"),AND(AC79="Extremo",AC80="Moderado",AC81="Alto"),AND(AC79="Extremo",AC80="Alto",AC81="Bajo"),AND(AC79="Extremo",AC80="Alto",AC81="Moderado"),AND(AC79="Extremo",AC80="Alto",AC81="Alto"),AND(AC79="Extremo",AC80="Extremo",AC81="Bajo"),AND(AC79="Extremo",AC80="Extremo",AC81="Moderado"),AND(AC79="Extremo",AC80="Extremo",AC81="Alto"),AND(AC79="Extremo",AC80="Extremo",AC81="Extremo"),AND(AC79="Extremo",AC80="Bajo",AC81=""),AND(AC79="Extremo",AC80="Moderado",AC81=""),AND(AC79="Extremo",AC80="Alto",AC81=""),AND(AC79="Extremo",AC80="",AC81="")),"Extremo")))),"")</f>
        <v>0</v>
      </c>
      <c r="AE79" s="125"/>
      <c r="AF79" s="107"/>
      <c r="AG79" s="107"/>
      <c r="AH79" s="109"/>
      <c r="AI79" s="109"/>
      <c r="AJ79" s="107"/>
      <c r="AK79" s="106"/>
    </row>
    <row r="80" spans="1:37" x14ac:dyDescent="0.2">
      <c r="A80" s="135"/>
      <c r="B80" s="132"/>
      <c r="C80" s="132"/>
      <c r="D80" s="132"/>
      <c r="E80" s="132"/>
      <c r="F80" s="132"/>
      <c r="G80" s="135"/>
      <c r="H80" s="138"/>
      <c r="I80" s="141"/>
      <c r="J80" s="144"/>
      <c r="K80" s="141"/>
      <c r="L80" s="138"/>
      <c r="M80" s="141"/>
      <c r="N80" s="147"/>
      <c r="O80" s="106">
        <v>2</v>
      </c>
      <c r="P80" s="120"/>
      <c r="Q80" s="110" t="str">
        <f t="shared" ref="Q80:Q127" si="58">IF(OR(R80="Preventivo",R80="Detectivo"),"Probabilidad",IF(R80="Correctivo","Impacto",""))</f>
        <v/>
      </c>
      <c r="R80" s="108"/>
      <c r="S80" s="108"/>
      <c r="T80" s="111" t="str">
        <f t="shared" si="6"/>
        <v/>
      </c>
      <c r="U80" s="121"/>
      <c r="V80" s="121"/>
      <c r="W80" s="121"/>
      <c r="X80" s="112" t="str">
        <f t="shared" si="7"/>
        <v/>
      </c>
      <c r="Y80" s="113" t="str">
        <f t="shared" si="8"/>
        <v/>
      </c>
      <c r="Z80" s="111" t="str">
        <f t="shared" si="9"/>
        <v/>
      </c>
      <c r="AA80" s="113" t="str">
        <f t="shared" si="10"/>
        <v/>
      </c>
      <c r="AB80" s="111" t="str">
        <f t="shared" si="11"/>
        <v/>
      </c>
      <c r="AC80" s="114" t="str">
        <f t="shared" si="12"/>
        <v/>
      </c>
      <c r="AD80" s="129"/>
      <c r="AE80" s="126"/>
      <c r="AF80" s="107"/>
      <c r="AG80" s="107"/>
      <c r="AH80" s="109"/>
      <c r="AI80" s="109"/>
      <c r="AJ80" s="107"/>
      <c r="AK80" s="106"/>
    </row>
    <row r="81" spans="1:37" x14ac:dyDescent="0.2">
      <c r="A81" s="135"/>
      <c r="B81" s="132"/>
      <c r="C81" s="132"/>
      <c r="D81" s="132"/>
      <c r="E81" s="132"/>
      <c r="F81" s="132"/>
      <c r="G81" s="135"/>
      <c r="H81" s="138"/>
      <c r="I81" s="141"/>
      <c r="J81" s="144"/>
      <c r="K81" s="141"/>
      <c r="L81" s="138"/>
      <c r="M81" s="141"/>
      <c r="N81" s="147"/>
      <c r="O81" s="106">
        <v>3</v>
      </c>
      <c r="P81" s="120"/>
      <c r="Q81" s="110" t="str">
        <f t="shared" si="58"/>
        <v/>
      </c>
      <c r="R81" s="108"/>
      <c r="S81" s="108"/>
      <c r="T81" s="111" t="str">
        <f t="shared" ref="T81:T127" si="59">IF(AND(R81="Preventivo",S81="Automático"),"50%",IF(AND(R81="Preventivo",S81="Manual"),"40%",IF(AND(R81="Detectivo",S81="Automático"),"40%",IF(AND(R81="Detectivo",S81="Manual"),"30%",IF(AND(R81="Correctivo",S81="Automático"),"35%",IF(AND(R81="Correctivo",S81="Manual"),"25%",""))))))</f>
        <v/>
      </c>
      <c r="U81" s="121"/>
      <c r="V81" s="121"/>
      <c r="W81" s="121"/>
      <c r="X81" s="112" t="str">
        <f t="shared" ref="X81:X127" si="60">IFERROR(IF(Q81="Probabilidad",(I81-(+I81*T81)),IF(Q81="Impacto",I81,"")),"")</f>
        <v/>
      </c>
      <c r="Y81" s="113" t="str">
        <f t="shared" ref="Y81:Y127" si="61">IFERROR(IF(X81="","",IF(X81&lt;=0.2,"Muy Baja",IF(X81&lt;=0.4,"Baja",IF(X81&lt;=0.6,"Media",IF(X81&lt;=0.8,"Alta","Muy Alta"))))),"")</f>
        <v/>
      </c>
      <c r="Z81" s="111" t="str">
        <f t="shared" ref="Z81:Z127" si="62">+X81</f>
        <v/>
      </c>
      <c r="AA81" s="113" t="str">
        <f t="shared" ref="AA81:AA127" si="63">IFERROR(IF(AB81="","",IF(AB81&lt;=0.2,"Leve",IF(AB81&lt;=0.4,"Menor",IF(AB81&lt;=0.6,"Moderado",IF(AB81&lt;=0.8,"Mayor","Catastrófico"))))),"")</f>
        <v/>
      </c>
      <c r="AB81" s="111" t="str">
        <f t="shared" ref="AB81:AB127" si="64">IFERROR(IF(Q81="Impacto",(M81-(+M81*T81)),IF(Q81="Probabilidad",M81,"")),"")</f>
        <v/>
      </c>
      <c r="AC81" s="114" t="str">
        <f t="shared" ref="AC81:AC127" si="65">IFERROR(IF(OR(AND(Y81="Muy Baja",AA81="Leve"),AND(Y81="Muy Baja",AA81="Menor"),AND(Y81="Baja",AA81="Leve")),"Bajo",IF(OR(AND(Y81="Muy baja",AA81="Moderado"),AND(Y81="Baja",AA81="Menor"),AND(Y81="Baja",AA81="Moderado"),AND(Y81="Media",AA81="Leve"),AND(Y81="Media",AA81="Menor"),AND(Y81="Media",AA81="Moderado"),AND(Y81="Alta",AA81="Leve"),AND(Y81="Alta",AA81="Menor")),"Moderado",IF(OR(AND(Y81="Muy Baja",AA81="Mayor"),AND(Y81="Baja",AA81="Mayor"),AND(Y81="Media",AA81="Mayor"),AND(Y81="Alta",AA81="Moderado"),AND(Y81="Alta",AA81="Mayor"),AND(Y81="Muy Alta",AA81="Leve"),AND(Y81="Muy Alta",AA81="Menor"),AND(Y81="Muy Alta",AA81="Moderado"),AND(Y81="Muy Alta",AA81="Mayor")),"Alto",IF(OR(AND(Y81="Muy Baja",AA81="Catastrófico"),AND(Y81="Baja",AA81="Catastrófico"),AND(Y81="Media",AA81="Catastrófico"),AND(Y81="Alta",AA81="Catastrófico"),AND(Y81="Muy Alta",AA81="Catastrófico")),"Extremo","")))),"")</f>
        <v/>
      </c>
      <c r="AD81" s="129"/>
      <c r="AE81" s="127"/>
      <c r="AF81" s="107"/>
      <c r="AG81" s="107"/>
      <c r="AH81" s="109"/>
      <c r="AI81" s="109"/>
      <c r="AJ81" s="107"/>
      <c r="AK81" s="106"/>
    </row>
    <row r="82" spans="1:37" ht="16.5" customHeight="1" x14ac:dyDescent="0.2">
      <c r="A82" s="135"/>
      <c r="B82" s="132"/>
      <c r="C82" s="132"/>
      <c r="D82" s="132"/>
      <c r="E82" s="132"/>
      <c r="F82" s="132"/>
      <c r="G82" s="135"/>
      <c r="H82" s="138"/>
      <c r="I82" s="141"/>
      <c r="J82" s="144"/>
      <c r="K82" s="141"/>
      <c r="L82" s="138"/>
      <c r="M82" s="141"/>
      <c r="N82" s="147"/>
      <c r="O82" s="106">
        <v>4</v>
      </c>
      <c r="P82" s="120"/>
      <c r="Q82" s="110" t="str">
        <f t="shared" si="58"/>
        <v/>
      </c>
      <c r="R82" s="108"/>
      <c r="S82" s="108"/>
      <c r="T82" s="111" t="str">
        <f t="shared" si="59"/>
        <v/>
      </c>
      <c r="U82" s="121"/>
      <c r="V82" s="121"/>
      <c r="W82" s="121"/>
      <c r="X82" s="112" t="str">
        <f t="shared" si="60"/>
        <v/>
      </c>
      <c r="Y82" s="113" t="str">
        <f t="shared" si="61"/>
        <v/>
      </c>
      <c r="Z82" s="111" t="str">
        <f t="shared" si="62"/>
        <v/>
      </c>
      <c r="AA82" s="113" t="str">
        <f t="shared" si="63"/>
        <v/>
      </c>
      <c r="AB82" s="111" t="str">
        <f t="shared" si="64"/>
        <v/>
      </c>
      <c r="AC82" s="114" t="str">
        <f t="shared" si="65"/>
        <v/>
      </c>
      <c r="AD82" s="129"/>
      <c r="AE82" s="108"/>
      <c r="AF82" s="107"/>
      <c r="AG82" s="107"/>
      <c r="AH82" s="109"/>
      <c r="AI82" s="109"/>
      <c r="AJ82" s="107"/>
      <c r="AK82" s="106"/>
    </row>
    <row r="83" spans="1:37" ht="16.5" customHeight="1" x14ac:dyDescent="0.2">
      <c r="A83" s="135"/>
      <c r="B83" s="132"/>
      <c r="C83" s="132"/>
      <c r="D83" s="132"/>
      <c r="E83" s="132"/>
      <c r="F83" s="132"/>
      <c r="G83" s="135"/>
      <c r="H83" s="138"/>
      <c r="I83" s="141"/>
      <c r="J83" s="144"/>
      <c r="K83" s="141"/>
      <c r="L83" s="138"/>
      <c r="M83" s="141"/>
      <c r="N83" s="147"/>
      <c r="O83" s="106">
        <v>5</v>
      </c>
      <c r="P83" s="120"/>
      <c r="Q83" s="110" t="str">
        <f t="shared" si="58"/>
        <v/>
      </c>
      <c r="R83" s="108"/>
      <c r="S83" s="108"/>
      <c r="T83" s="111" t="str">
        <f t="shared" si="59"/>
        <v/>
      </c>
      <c r="U83" s="121"/>
      <c r="V83" s="121"/>
      <c r="W83" s="121"/>
      <c r="X83" s="112" t="str">
        <f t="shared" si="60"/>
        <v/>
      </c>
      <c r="Y83" s="113" t="str">
        <f t="shared" si="61"/>
        <v/>
      </c>
      <c r="Z83" s="111" t="str">
        <f t="shared" si="62"/>
        <v/>
      </c>
      <c r="AA83" s="113" t="str">
        <f t="shared" si="63"/>
        <v/>
      </c>
      <c r="AB83" s="111" t="str">
        <f t="shared" si="64"/>
        <v/>
      </c>
      <c r="AC83" s="114" t="str">
        <f t="shared" si="65"/>
        <v/>
      </c>
      <c r="AD83" s="129"/>
      <c r="AE83" s="108"/>
      <c r="AF83" s="107"/>
      <c r="AG83" s="107"/>
      <c r="AH83" s="109"/>
      <c r="AI83" s="109"/>
      <c r="AJ83" s="107"/>
      <c r="AK83" s="106"/>
    </row>
    <row r="84" spans="1:37" ht="16.5" customHeight="1" x14ac:dyDescent="0.2">
      <c r="A84" s="135"/>
      <c r="B84" s="132"/>
      <c r="C84" s="132"/>
      <c r="D84" s="132"/>
      <c r="E84" s="132"/>
      <c r="F84" s="132"/>
      <c r="G84" s="135"/>
      <c r="H84" s="138"/>
      <c r="I84" s="141"/>
      <c r="J84" s="144"/>
      <c r="K84" s="141"/>
      <c r="L84" s="138"/>
      <c r="M84" s="141"/>
      <c r="N84" s="147"/>
      <c r="O84" s="106">
        <v>6</v>
      </c>
      <c r="P84" s="120"/>
      <c r="Q84" s="110" t="str">
        <f t="shared" si="58"/>
        <v/>
      </c>
      <c r="R84" s="108"/>
      <c r="S84" s="108"/>
      <c r="T84" s="111" t="str">
        <f t="shared" si="59"/>
        <v/>
      </c>
      <c r="U84" s="121"/>
      <c r="V84" s="121"/>
      <c r="W84" s="121"/>
      <c r="X84" s="112" t="str">
        <f t="shared" si="60"/>
        <v/>
      </c>
      <c r="Y84" s="113" t="str">
        <f t="shared" si="61"/>
        <v/>
      </c>
      <c r="Z84" s="111" t="str">
        <f t="shared" si="62"/>
        <v/>
      </c>
      <c r="AA84" s="113" t="str">
        <f t="shared" si="63"/>
        <v/>
      </c>
      <c r="AB84" s="111" t="str">
        <f t="shared" si="64"/>
        <v/>
      </c>
      <c r="AC84" s="114" t="str">
        <f t="shared" si="65"/>
        <v/>
      </c>
      <c r="AD84" s="129"/>
      <c r="AE84" s="108"/>
      <c r="AF84" s="107"/>
      <c r="AG84" s="107"/>
      <c r="AH84" s="109"/>
      <c r="AI84" s="109"/>
      <c r="AJ84" s="107"/>
      <c r="AK84" s="106"/>
    </row>
    <row r="85" spans="1:37" ht="16.5" customHeight="1" x14ac:dyDescent="0.2">
      <c r="A85" s="136"/>
      <c r="B85" s="133"/>
      <c r="C85" s="133"/>
      <c r="D85" s="133"/>
      <c r="E85" s="133"/>
      <c r="F85" s="133"/>
      <c r="G85" s="136"/>
      <c r="H85" s="139"/>
      <c r="I85" s="142"/>
      <c r="J85" s="145"/>
      <c r="K85" s="142"/>
      <c r="L85" s="139"/>
      <c r="M85" s="142"/>
      <c r="N85" s="148"/>
      <c r="O85" s="106">
        <v>7</v>
      </c>
      <c r="P85" s="120"/>
      <c r="Q85" s="110" t="str">
        <f t="shared" si="58"/>
        <v/>
      </c>
      <c r="R85" s="108"/>
      <c r="S85" s="108"/>
      <c r="T85" s="111" t="str">
        <f t="shared" si="59"/>
        <v/>
      </c>
      <c r="U85" s="121"/>
      <c r="V85" s="121"/>
      <c r="W85" s="121"/>
      <c r="X85" s="112" t="str">
        <f t="shared" si="60"/>
        <v/>
      </c>
      <c r="Y85" s="113" t="str">
        <f t="shared" si="61"/>
        <v/>
      </c>
      <c r="Z85" s="111" t="str">
        <f t="shared" si="62"/>
        <v/>
      </c>
      <c r="AA85" s="113" t="str">
        <f t="shared" si="63"/>
        <v/>
      </c>
      <c r="AB85" s="111" t="str">
        <f t="shared" si="64"/>
        <v/>
      </c>
      <c r="AC85" s="114" t="str">
        <f t="shared" si="65"/>
        <v/>
      </c>
      <c r="AD85" s="130"/>
      <c r="AE85" s="108"/>
      <c r="AF85" s="107"/>
      <c r="AG85" s="107"/>
      <c r="AH85" s="109"/>
      <c r="AI85" s="109"/>
      <c r="AJ85" s="107"/>
      <c r="AK85" s="106"/>
    </row>
    <row r="86" spans="1:37" ht="18" customHeight="1" x14ac:dyDescent="0.2">
      <c r="A86" s="134">
        <v>11</v>
      </c>
      <c r="B86" s="131"/>
      <c r="C86" s="131"/>
      <c r="D86" s="131"/>
      <c r="E86" s="131"/>
      <c r="F86" s="131"/>
      <c r="G86" s="134"/>
      <c r="H86" s="137" t="str">
        <f t="shared" ref="H86" si="66">IF(G86&lt;=0,"",IF(G86&lt;=2,"Muy Baja",IF(G86&lt;=24,"Baja",IF(G86&lt;=500,"Media",IF(G86&lt;=5000,"Alta","Muy Alta")))))</f>
        <v/>
      </c>
      <c r="I86" s="140" t="str">
        <f t="shared" ref="I86" si="67">IF(H86="","",IF(H86="Muy Baja",0.2,IF(H86="Baja",0.4,IF(H86="Media",0.6,IF(H86="Alta",0.8,IF(H86="Muy Alta",1,))))))</f>
        <v/>
      </c>
      <c r="J86" s="143"/>
      <c r="K86" s="140">
        <f>IF(NOT(ISERROR(MATCH(J86,'[1]Tabla Impacto'!$B$221:$B$223,0))),'[1]Tabla Impacto'!$F$223&amp;"Por favor no seleccionar los criterios de impacto(Afectación Económica o presupuestal y Pérdida Reputacional)",J86)</f>
        <v>0</v>
      </c>
      <c r="L86" s="137" t="str">
        <f>IF(OR(K86='[1]Tabla Impacto'!$C$11,K86='[1]Tabla Impacto'!$D$11),"Leve",IF(OR(K86='[1]Tabla Impacto'!$C$12,K86='[1]Tabla Impacto'!$D$12),"Menor",IF(OR(K86='[1]Tabla Impacto'!$C$13,K86='[1]Tabla Impacto'!$D$13),"Moderado",IF(OR(K86='[1]Tabla Impacto'!$C$14,K86='[1]Tabla Impacto'!$D$14),"Mayor",IF(OR(K86='[1]Tabla Impacto'!$C$15,K86='[1]Tabla Impacto'!$D$15),"Catastrófico","")))))</f>
        <v/>
      </c>
      <c r="M86" s="140" t="str">
        <f t="shared" ref="M86" si="68">IF(L86="","",IF(L86="Leve",0.2,IF(L86="Menor",0.4,IF(L86="Moderado",0.6,IF(L86="Mayor",0.8,IF(L86="Catastrófico",1,))))))</f>
        <v/>
      </c>
      <c r="N86" s="146" t="str">
        <f t="shared" ref="N86" si="69">IF(OR(AND(H86="Muy Baja",L86="Leve"),AND(H86="Muy Baja",L86="Menor"),AND(H86="Baja",L86="Leve")),"Bajo",IF(OR(AND(H86="Muy baja",L86="Moderado"),AND(H86="Baja",L86="Menor"),AND(H86="Baja",L86="Moderado"),AND(H86="Media",L86="Leve"),AND(H86="Media",L86="Menor"),AND(H86="Media",L86="Moderado"),AND(H86="Alta",L86="Leve"),AND(H86="Alta",L86="Menor")),"Moderado",IF(OR(AND(H86="Muy Baja",L86="Mayor"),AND(H86="Baja",L86="Mayor"),AND(H86="Media",L86="Mayor"),AND(H86="Alta",L86="Moderado"),AND(H86="Alta",L86="Mayor"),AND(H86="Muy Alta",L86="Leve"),AND(H86="Muy Alta",L86="Menor"),AND(H86="Muy Alta",L86="Moderado"),AND(H86="Muy Alta",L86="Mayor")),"Alto",IF(OR(AND(H86="Muy Baja",L86="Catastrófico"),AND(H86="Baja",L86="Catastrófico"),AND(H86="Media",L86="Catastrófico"),AND(H86="Alta",L86="Catastrófico"),AND(H86="Muy Alta",L86="Catastrófico")),"Extremo",""))))</f>
        <v/>
      </c>
      <c r="O86" s="106">
        <v>1</v>
      </c>
      <c r="P86" s="120"/>
      <c r="Q86" s="110" t="str">
        <f t="shared" si="58"/>
        <v/>
      </c>
      <c r="R86" s="108"/>
      <c r="S86" s="108"/>
      <c r="T86" s="111" t="str">
        <f t="shared" si="59"/>
        <v/>
      </c>
      <c r="U86" s="121"/>
      <c r="V86" s="121"/>
      <c r="W86" s="121"/>
      <c r="X86" s="112" t="str">
        <f t="shared" si="60"/>
        <v/>
      </c>
      <c r="Y86" s="113" t="str">
        <f t="shared" si="61"/>
        <v/>
      </c>
      <c r="Z86" s="111" t="str">
        <f t="shared" si="62"/>
        <v/>
      </c>
      <c r="AA86" s="113" t="str">
        <f t="shared" si="63"/>
        <v/>
      </c>
      <c r="AB86" s="111" t="str">
        <f t="shared" si="64"/>
        <v/>
      </c>
      <c r="AC86" s="114" t="str">
        <f t="shared" si="65"/>
        <v/>
      </c>
      <c r="AD86" s="128" t="b">
        <f t="shared" ref="AD86" si="70">IFERROR(IF(OR(AND(AC86="Bajo",AC87="Bajo",AC88="Bajo"),AND(AC86="Bajo",AC87="Bajo",AC88=""),AND(AC86="Bajo",AC87="",AC88="")),"Bajo",IF(OR(AND(AC86="Bajo",AC87="Bajo",AC88="Moderado"),AND(AC86="Bajo",AC87="Moderado",AC88="Moderado"),AND(AC86="Moderado",AC87="Moderado",AC88="Moderado"),AND(AC86="Bajo",AC87="Moderado",AC88=""),AND(AC86="Moderado",AC87="Bajo",AC88=""),AND(AC86="Moderado",AC87="Moderado",AC88=""),AND(AC86="Moderado",AC87="",AC88="")),"Moderado",IF(OR(AND(AC86="Bajo",AC87="Bajo",AC88="Alto"),AND(AC86="Bajo",AC87="Moderado",AC88="Alto"),AND(AC86="Moderado",AC87="Bajo",AC88="Alto"),AND(AC86="Moderado",AC87="Alto",AC88="Bajo"),AND(AC86="Moderado",AC87="Moderado",AC88="Alto"),AND(AC86="Alto",AC87="Bajo",AC88="Bajo"),AND(AC86="Alto",AC87="Moderado",AC88="Bajo"),AND(AC86="Alto",AC87="Moderado",AC88="Moderado"),AND(AC86="Alto",AC87="Alto",AC88="Bajo"),AND(AC86="Alto",AC87="Alto",AC88="Moderado"),AND(AC86="Alto",AC87="Alto",AC88="Alto"),AND(AC86="Alto",AC87="Bajo",AC88=""),AND(AC86="Alto",AC87="Moderado",AC88=""),AND(AC86="Alto",AC87="Alto",AC88=""),AND(AC86="Bajo",AC87="Alto",AC88=""),AND(AC86="Moderado",AC87="Alto",AC88=""),AND(AC86="Alto",AC87="",AC88="")),"Alto",IF(OR(AND(AC86="Bajo",AC87="Bajo",AC88="Extremo"),AND(AC86="Bajo",AC87="Moderado",AC88="Extremo"),AND(AC86="Bajo",AC87="Alto",AC88="Extremo"),AND(AC86="Moderado",AC87="Bajo",AC88="Extremo"),AND(AC86="Moderado",AC87="Alto",AC88="Extremo"),AND(AC86="Moderado",AC87="Moderado",AC88="Extremo"),AND(AC86="Alto",AC87="Bajo",AC88="Extremo"),AND(AC86="Alto",AC87="Moderado",AC88="Extremo"),AND(AC86="Alto",AC87="Alto",AC88="Extremo"),AND(AC86="Extremo",AC87="Bajo",AC88="Bajo"),AND(AC86="Extremo",AC87="Bajo",AC88="Moderado"),AND(AC86="Extremo",AC87="Bajo",AC88="Alto"),AND(AC86="Extremo",AC87="Moderado",AC88="Bajo"),AND(AC86="Extremo",AC87="Moderado",AC88="Moderado"),AND(AC86="Extremo",AC87="Moderado",AC88="Alto"),AND(AC86="Extremo",AC87="Alto",AC88="Bajo"),AND(AC86="Extremo",AC87="Alto",AC88="Moderado"),AND(AC86="Extremo",AC87="Alto",AC88="Alto"),AND(AC86="Extremo",AC87="Extremo",AC88="Bajo"),AND(AC86="Extremo",AC87="Extremo",AC88="Moderado"),AND(AC86="Extremo",AC87="Extremo",AC88="Alto"),AND(AC86="Extremo",AC87="Extremo",AC88="Extremo"),AND(AC86="Extremo",AC87="Bajo",AC88=""),AND(AC86="Extremo",AC87="Moderado",AC88=""),AND(AC86="Extremo",AC87="Alto",AC88=""),AND(AC86="Extremo",AC87="",AC88="")),"Extremo")))),"")</f>
        <v>0</v>
      </c>
      <c r="AE86" s="125"/>
      <c r="AF86" s="107"/>
      <c r="AG86" s="107"/>
      <c r="AH86" s="109"/>
      <c r="AI86" s="109"/>
      <c r="AJ86" s="107"/>
      <c r="AK86" s="106"/>
    </row>
    <row r="87" spans="1:37" x14ac:dyDescent="0.2">
      <c r="A87" s="135"/>
      <c r="B87" s="132"/>
      <c r="C87" s="132"/>
      <c r="D87" s="132"/>
      <c r="E87" s="132"/>
      <c r="F87" s="132"/>
      <c r="G87" s="135"/>
      <c r="H87" s="138"/>
      <c r="I87" s="141"/>
      <c r="J87" s="144"/>
      <c r="K87" s="141"/>
      <c r="L87" s="138"/>
      <c r="M87" s="141"/>
      <c r="N87" s="147"/>
      <c r="O87" s="106">
        <v>2</v>
      </c>
      <c r="P87" s="120"/>
      <c r="Q87" s="110" t="str">
        <f t="shared" si="58"/>
        <v/>
      </c>
      <c r="R87" s="108"/>
      <c r="S87" s="108"/>
      <c r="T87" s="111" t="str">
        <f t="shared" si="59"/>
        <v/>
      </c>
      <c r="U87" s="121"/>
      <c r="V87" s="121"/>
      <c r="W87" s="121"/>
      <c r="X87" s="112" t="str">
        <f t="shared" si="60"/>
        <v/>
      </c>
      <c r="Y87" s="113" t="str">
        <f t="shared" si="61"/>
        <v/>
      </c>
      <c r="Z87" s="111" t="str">
        <f t="shared" si="62"/>
        <v/>
      </c>
      <c r="AA87" s="113" t="str">
        <f t="shared" si="63"/>
        <v/>
      </c>
      <c r="AB87" s="111" t="str">
        <f t="shared" si="64"/>
        <v/>
      </c>
      <c r="AC87" s="114" t="str">
        <f t="shared" si="65"/>
        <v/>
      </c>
      <c r="AD87" s="129"/>
      <c r="AE87" s="126"/>
      <c r="AF87" s="107"/>
      <c r="AG87" s="107"/>
      <c r="AH87" s="109"/>
      <c r="AI87" s="109"/>
      <c r="AJ87" s="107"/>
      <c r="AK87" s="106"/>
    </row>
    <row r="88" spans="1:37" x14ac:dyDescent="0.2">
      <c r="A88" s="135"/>
      <c r="B88" s="132"/>
      <c r="C88" s="132"/>
      <c r="D88" s="132"/>
      <c r="E88" s="132"/>
      <c r="F88" s="132"/>
      <c r="G88" s="135"/>
      <c r="H88" s="138"/>
      <c r="I88" s="141"/>
      <c r="J88" s="144"/>
      <c r="K88" s="141"/>
      <c r="L88" s="138"/>
      <c r="M88" s="141"/>
      <c r="N88" s="147"/>
      <c r="O88" s="106">
        <v>3</v>
      </c>
      <c r="P88" s="120"/>
      <c r="Q88" s="110" t="str">
        <f t="shared" si="58"/>
        <v/>
      </c>
      <c r="R88" s="108"/>
      <c r="S88" s="108"/>
      <c r="T88" s="111" t="str">
        <f t="shared" si="59"/>
        <v/>
      </c>
      <c r="U88" s="121"/>
      <c r="V88" s="121"/>
      <c r="W88" s="121"/>
      <c r="X88" s="112" t="str">
        <f t="shared" si="60"/>
        <v/>
      </c>
      <c r="Y88" s="113" t="str">
        <f t="shared" si="61"/>
        <v/>
      </c>
      <c r="Z88" s="111" t="str">
        <f t="shared" si="62"/>
        <v/>
      </c>
      <c r="AA88" s="113" t="str">
        <f t="shared" si="63"/>
        <v/>
      </c>
      <c r="AB88" s="111" t="str">
        <f t="shared" si="64"/>
        <v/>
      </c>
      <c r="AC88" s="114" t="str">
        <f t="shared" si="65"/>
        <v/>
      </c>
      <c r="AD88" s="129"/>
      <c r="AE88" s="127"/>
      <c r="AF88" s="107"/>
      <c r="AG88" s="107"/>
      <c r="AH88" s="109"/>
      <c r="AI88" s="109"/>
      <c r="AJ88" s="107"/>
      <c r="AK88" s="106"/>
    </row>
    <row r="89" spans="1:37" ht="16.5" customHeight="1" x14ac:dyDescent="0.2">
      <c r="A89" s="135"/>
      <c r="B89" s="132"/>
      <c r="C89" s="132"/>
      <c r="D89" s="132"/>
      <c r="E89" s="132"/>
      <c r="F89" s="132"/>
      <c r="G89" s="135"/>
      <c r="H89" s="138"/>
      <c r="I89" s="141"/>
      <c r="J89" s="144"/>
      <c r="K89" s="141"/>
      <c r="L89" s="138"/>
      <c r="M89" s="141"/>
      <c r="N89" s="147"/>
      <c r="O89" s="106">
        <v>4</v>
      </c>
      <c r="P89" s="120"/>
      <c r="Q89" s="110" t="str">
        <f t="shared" si="58"/>
        <v/>
      </c>
      <c r="R89" s="108"/>
      <c r="S89" s="108"/>
      <c r="T89" s="111" t="str">
        <f t="shared" si="59"/>
        <v/>
      </c>
      <c r="U89" s="121"/>
      <c r="V89" s="121"/>
      <c r="W89" s="121"/>
      <c r="X89" s="112" t="str">
        <f t="shared" si="60"/>
        <v/>
      </c>
      <c r="Y89" s="113" t="str">
        <f t="shared" si="61"/>
        <v/>
      </c>
      <c r="Z89" s="111" t="str">
        <f t="shared" si="62"/>
        <v/>
      </c>
      <c r="AA89" s="113" t="str">
        <f t="shared" si="63"/>
        <v/>
      </c>
      <c r="AB89" s="111" t="str">
        <f t="shared" si="64"/>
        <v/>
      </c>
      <c r="AC89" s="114" t="str">
        <f t="shared" si="65"/>
        <v/>
      </c>
      <c r="AD89" s="129"/>
      <c r="AE89" s="108"/>
      <c r="AF89" s="107"/>
      <c r="AG89" s="107"/>
      <c r="AH89" s="109"/>
      <c r="AI89" s="109"/>
      <c r="AJ89" s="107"/>
      <c r="AK89" s="106"/>
    </row>
    <row r="90" spans="1:37" ht="16.5" customHeight="1" x14ac:dyDescent="0.2">
      <c r="A90" s="135"/>
      <c r="B90" s="132"/>
      <c r="C90" s="132"/>
      <c r="D90" s="132"/>
      <c r="E90" s="132"/>
      <c r="F90" s="132"/>
      <c r="G90" s="135"/>
      <c r="H90" s="138"/>
      <c r="I90" s="141"/>
      <c r="J90" s="144"/>
      <c r="K90" s="141"/>
      <c r="L90" s="138"/>
      <c r="M90" s="141"/>
      <c r="N90" s="147"/>
      <c r="O90" s="106">
        <v>5</v>
      </c>
      <c r="P90" s="120"/>
      <c r="Q90" s="110" t="str">
        <f t="shared" si="58"/>
        <v/>
      </c>
      <c r="R90" s="108"/>
      <c r="S90" s="108"/>
      <c r="T90" s="111" t="str">
        <f t="shared" si="59"/>
        <v/>
      </c>
      <c r="U90" s="121"/>
      <c r="V90" s="121"/>
      <c r="W90" s="121"/>
      <c r="X90" s="112" t="str">
        <f t="shared" si="60"/>
        <v/>
      </c>
      <c r="Y90" s="113" t="str">
        <f t="shared" si="61"/>
        <v/>
      </c>
      <c r="Z90" s="111" t="str">
        <f t="shared" si="62"/>
        <v/>
      </c>
      <c r="AA90" s="113" t="str">
        <f t="shared" si="63"/>
        <v/>
      </c>
      <c r="AB90" s="111" t="str">
        <f t="shared" si="64"/>
        <v/>
      </c>
      <c r="AC90" s="114" t="str">
        <f t="shared" si="65"/>
        <v/>
      </c>
      <c r="AD90" s="129"/>
      <c r="AE90" s="108"/>
      <c r="AF90" s="107"/>
      <c r="AG90" s="107"/>
      <c r="AH90" s="109"/>
      <c r="AI90" s="109"/>
      <c r="AJ90" s="107"/>
      <c r="AK90" s="106"/>
    </row>
    <row r="91" spans="1:37" ht="16.5" customHeight="1" x14ac:dyDescent="0.2">
      <c r="A91" s="135"/>
      <c r="B91" s="132"/>
      <c r="C91" s="132"/>
      <c r="D91" s="132"/>
      <c r="E91" s="132"/>
      <c r="F91" s="132"/>
      <c r="G91" s="135"/>
      <c r="H91" s="138"/>
      <c r="I91" s="141"/>
      <c r="J91" s="144"/>
      <c r="K91" s="141"/>
      <c r="L91" s="138"/>
      <c r="M91" s="141"/>
      <c r="N91" s="147"/>
      <c r="O91" s="106">
        <v>6</v>
      </c>
      <c r="P91" s="120"/>
      <c r="Q91" s="110" t="str">
        <f t="shared" si="58"/>
        <v/>
      </c>
      <c r="R91" s="108"/>
      <c r="S91" s="108"/>
      <c r="T91" s="111" t="str">
        <f t="shared" si="59"/>
        <v/>
      </c>
      <c r="U91" s="121"/>
      <c r="V91" s="121"/>
      <c r="W91" s="121"/>
      <c r="X91" s="112" t="str">
        <f t="shared" si="60"/>
        <v/>
      </c>
      <c r="Y91" s="113" t="str">
        <f t="shared" si="61"/>
        <v/>
      </c>
      <c r="Z91" s="111" t="str">
        <f t="shared" si="62"/>
        <v/>
      </c>
      <c r="AA91" s="113" t="str">
        <f t="shared" si="63"/>
        <v/>
      </c>
      <c r="AB91" s="111" t="str">
        <f t="shared" si="64"/>
        <v/>
      </c>
      <c r="AC91" s="114" t="str">
        <f t="shared" si="65"/>
        <v/>
      </c>
      <c r="AD91" s="129"/>
      <c r="AE91" s="108"/>
      <c r="AF91" s="107"/>
      <c r="AG91" s="107"/>
      <c r="AH91" s="109"/>
      <c r="AI91" s="109"/>
      <c r="AJ91" s="107"/>
      <c r="AK91" s="106"/>
    </row>
    <row r="92" spans="1:37" ht="16.5" customHeight="1" x14ac:dyDescent="0.2">
      <c r="A92" s="136"/>
      <c r="B92" s="133"/>
      <c r="C92" s="133"/>
      <c r="D92" s="133"/>
      <c r="E92" s="133"/>
      <c r="F92" s="133"/>
      <c r="G92" s="136"/>
      <c r="H92" s="139"/>
      <c r="I92" s="142"/>
      <c r="J92" s="145"/>
      <c r="K92" s="142"/>
      <c r="L92" s="139"/>
      <c r="M92" s="142"/>
      <c r="N92" s="148"/>
      <c r="O92" s="106">
        <v>7</v>
      </c>
      <c r="P92" s="120"/>
      <c r="Q92" s="110" t="str">
        <f t="shared" si="58"/>
        <v/>
      </c>
      <c r="R92" s="108"/>
      <c r="S92" s="108"/>
      <c r="T92" s="111" t="str">
        <f t="shared" si="59"/>
        <v/>
      </c>
      <c r="U92" s="121"/>
      <c r="V92" s="121"/>
      <c r="W92" s="121"/>
      <c r="X92" s="112" t="str">
        <f t="shared" si="60"/>
        <v/>
      </c>
      <c r="Y92" s="113" t="str">
        <f t="shared" si="61"/>
        <v/>
      </c>
      <c r="Z92" s="111" t="str">
        <f t="shared" si="62"/>
        <v/>
      </c>
      <c r="AA92" s="113" t="str">
        <f t="shared" si="63"/>
        <v/>
      </c>
      <c r="AB92" s="111" t="str">
        <f t="shared" si="64"/>
        <v/>
      </c>
      <c r="AC92" s="114" t="str">
        <f t="shared" si="65"/>
        <v/>
      </c>
      <c r="AD92" s="130"/>
      <c r="AE92" s="108"/>
      <c r="AF92" s="107"/>
      <c r="AG92" s="107"/>
      <c r="AH92" s="109"/>
      <c r="AI92" s="109"/>
      <c r="AJ92" s="107"/>
      <c r="AK92" s="106"/>
    </row>
    <row r="93" spans="1:37" ht="16.5" customHeight="1" x14ac:dyDescent="0.2">
      <c r="A93" s="134">
        <v>12</v>
      </c>
      <c r="B93" s="131"/>
      <c r="C93" s="131"/>
      <c r="D93" s="131"/>
      <c r="E93" s="131"/>
      <c r="F93" s="131"/>
      <c r="G93" s="134"/>
      <c r="H93" s="137" t="str">
        <f t="shared" ref="H93" si="71">IF(G93&lt;=0,"",IF(G93&lt;=2,"Muy Baja",IF(G93&lt;=24,"Baja",IF(G93&lt;=500,"Media",IF(G93&lt;=5000,"Alta","Muy Alta")))))</f>
        <v/>
      </c>
      <c r="I93" s="140" t="str">
        <f t="shared" ref="I93" si="72">IF(H93="","",IF(H93="Muy Baja",0.2,IF(H93="Baja",0.4,IF(H93="Media",0.6,IF(H93="Alta",0.8,IF(H93="Muy Alta",1,))))))</f>
        <v/>
      </c>
      <c r="J93" s="143"/>
      <c r="K93" s="140">
        <f>IF(NOT(ISERROR(MATCH(J93,'[1]Tabla Impacto'!$B$221:$B$223,0))),'[1]Tabla Impacto'!$F$223&amp;"Por favor no seleccionar los criterios de impacto(Afectación Económica o presupuestal y Pérdida Reputacional)",J93)</f>
        <v>0</v>
      </c>
      <c r="L93" s="137" t="str">
        <f>IF(OR(K93='[1]Tabla Impacto'!$C$11,K93='[1]Tabla Impacto'!$D$11),"Leve",IF(OR(K93='[1]Tabla Impacto'!$C$12,K93='[1]Tabla Impacto'!$D$12),"Menor",IF(OR(K93='[1]Tabla Impacto'!$C$13,K93='[1]Tabla Impacto'!$D$13),"Moderado",IF(OR(K93='[1]Tabla Impacto'!$C$14,K93='[1]Tabla Impacto'!$D$14),"Mayor",IF(OR(K93='[1]Tabla Impacto'!$C$15,K93='[1]Tabla Impacto'!$D$15),"Catastrófico","")))))</f>
        <v/>
      </c>
      <c r="M93" s="140" t="str">
        <f t="shared" ref="M93" si="73">IF(L93="","",IF(L93="Leve",0.2,IF(L93="Menor",0.4,IF(L93="Moderado",0.6,IF(L93="Mayor",0.8,IF(L93="Catastrófico",1,))))))</f>
        <v/>
      </c>
      <c r="N93" s="146" t="str">
        <f t="shared" ref="N93" si="74">IF(OR(AND(H93="Muy Baja",L93="Leve"),AND(H93="Muy Baja",L93="Menor"),AND(H93="Baja",L93="Leve")),"Bajo",IF(OR(AND(H93="Muy baja",L93="Moderado"),AND(H93="Baja",L93="Menor"),AND(H93="Baja",L93="Moderado"),AND(H93="Media",L93="Leve"),AND(H93="Media",L93="Menor"),AND(H93="Media",L93="Moderado"),AND(H93="Alta",L93="Leve"),AND(H93="Alta",L93="Menor")),"Moderado",IF(OR(AND(H93="Muy Baja",L93="Mayor"),AND(H93="Baja",L93="Mayor"),AND(H93="Media",L93="Mayor"),AND(H93="Alta",L93="Moderado"),AND(H93="Alta",L93="Mayor"),AND(H93="Muy Alta",L93="Leve"),AND(H93="Muy Alta",L93="Menor"),AND(H93="Muy Alta",L93="Moderado"),AND(H93="Muy Alta",L93="Mayor")),"Alto",IF(OR(AND(H93="Muy Baja",L93="Catastrófico"),AND(H93="Baja",L93="Catastrófico"),AND(H93="Media",L93="Catastrófico"),AND(H93="Alta",L93="Catastrófico"),AND(H93="Muy Alta",L93="Catastrófico")),"Extremo",""))))</f>
        <v/>
      </c>
      <c r="O93" s="106">
        <v>1</v>
      </c>
      <c r="P93" s="120"/>
      <c r="Q93" s="110" t="str">
        <f t="shared" si="58"/>
        <v/>
      </c>
      <c r="R93" s="108"/>
      <c r="S93" s="108"/>
      <c r="T93" s="111" t="str">
        <f t="shared" si="59"/>
        <v/>
      </c>
      <c r="U93" s="121"/>
      <c r="V93" s="121"/>
      <c r="W93" s="121"/>
      <c r="X93" s="112" t="str">
        <f t="shared" si="60"/>
        <v/>
      </c>
      <c r="Y93" s="113" t="str">
        <f t="shared" si="61"/>
        <v/>
      </c>
      <c r="Z93" s="111" t="str">
        <f t="shared" si="62"/>
        <v/>
      </c>
      <c r="AA93" s="113" t="str">
        <f t="shared" si="63"/>
        <v/>
      </c>
      <c r="AB93" s="111" t="str">
        <f t="shared" si="64"/>
        <v/>
      </c>
      <c r="AC93" s="114" t="str">
        <f t="shared" si="65"/>
        <v/>
      </c>
      <c r="AD93" s="128" t="b">
        <f t="shared" ref="AD93" si="75">IFERROR(IF(OR(AND(AC93="Bajo",AC94="Bajo",AC95="Bajo"),AND(AC93="Bajo",AC94="Bajo",AC95=""),AND(AC93="Bajo",AC94="",AC95="")),"Bajo",IF(OR(AND(AC93="Bajo",AC94="Bajo",AC95="Moderado"),AND(AC93="Bajo",AC94="Moderado",AC95="Moderado"),AND(AC93="Moderado",AC94="Moderado",AC95="Moderado"),AND(AC93="Bajo",AC94="Moderado",AC95=""),AND(AC93="Moderado",AC94="Bajo",AC95=""),AND(AC93="Moderado",AC94="Moderado",AC95=""),AND(AC93="Moderado",AC94="",AC95="")),"Moderado",IF(OR(AND(AC93="Bajo",AC94="Bajo",AC95="Alto"),AND(AC93="Bajo",AC94="Moderado",AC95="Alto"),AND(AC93="Moderado",AC94="Bajo",AC95="Alto"),AND(AC93="Moderado",AC94="Alto",AC95="Bajo"),AND(AC93="Moderado",AC94="Moderado",AC95="Alto"),AND(AC93="Alto",AC94="Bajo",AC95="Bajo"),AND(AC93="Alto",AC94="Moderado",AC95="Bajo"),AND(AC93="Alto",AC94="Moderado",AC95="Moderado"),AND(AC93="Alto",AC94="Alto",AC95="Bajo"),AND(AC93="Alto",AC94="Alto",AC95="Moderado"),AND(AC93="Alto",AC94="Alto",AC95="Alto"),AND(AC93="Alto",AC94="Bajo",AC95=""),AND(AC93="Alto",AC94="Moderado",AC95=""),AND(AC93="Alto",AC94="Alto",AC95=""),AND(AC93="Bajo",AC94="Alto",AC95=""),AND(AC93="Moderado",AC94="Alto",AC95=""),AND(AC93="Alto",AC94="",AC95="")),"Alto",IF(OR(AND(AC93="Bajo",AC94="Bajo",AC95="Extremo"),AND(AC93="Bajo",AC94="Moderado",AC95="Extremo"),AND(AC93="Bajo",AC94="Alto",AC95="Extremo"),AND(AC93="Moderado",AC94="Bajo",AC95="Extremo"),AND(AC93="Moderado",AC94="Alto",AC95="Extremo"),AND(AC93="Moderado",AC94="Moderado",AC95="Extremo"),AND(AC93="Alto",AC94="Bajo",AC95="Extremo"),AND(AC93="Alto",AC94="Moderado",AC95="Extremo"),AND(AC93="Alto",AC94="Alto",AC95="Extremo"),AND(AC93="Extremo",AC94="Bajo",AC95="Bajo"),AND(AC93="Extremo",AC94="Bajo",AC95="Moderado"),AND(AC93="Extremo",AC94="Bajo",AC95="Alto"),AND(AC93="Extremo",AC94="Moderado",AC95="Bajo"),AND(AC93="Extremo",AC94="Moderado",AC95="Moderado"),AND(AC93="Extremo",AC94="Moderado",AC95="Alto"),AND(AC93="Extremo",AC94="Alto",AC95="Bajo"),AND(AC93="Extremo",AC94="Alto",AC95="Moderado"),AND(AC93="Extremo",AC94="Alto",AC95="Alto"),AND(AC93="Extremo",AC94="Extremo",AC95="Bajo"),AND(AC93="Extremo",AC94="Extremo",AC95="Moderado"),AND(AC93="Extremo",AC94="Extremo",AC95="Alto"),AND(AC93="Extremo",AC94="Extremo",AC95="Extremo"),AND(AC93="Extremo",AC94="Bajo",AC95=""),AND(AC93="Extremo",AC94="Moderado",AC95=""),AND(AC93="Extremo",AC94="Alto",AC95=""),AND(AC93="Extremo",AC94="",AC95="")),"Extremo")))),"")</f>
        <v>0</v>
      </c>
      <c r="AE93" s="125"/>
      <c r="AF93" s="107"/>
      <c r="AG93" s="107"/>
      <c r="AH93" s="109"/>
      <c r="AI93" s="109"/>
      <c r="AJ93" s="107"/>
      <c r="AK93" s="106"/>
    </row>
    <row r="94" spans="1:37" x14ac:dyDescent="0.2">
      <c r="A94" s="135"/>
      <c r="B94" s="132"/>
      <c r="C94" s="132"/>
      <c r="D94" s="132"/>
      <c r="E94" s="132"/>
      <c r="F94" s="132"/>
      <c r="G94" s="135"/>
      <c r="H94" s="138"/>
      <c r="I94" s="141"/>
      <c r="J94" s="144"/>
      <c r="K94" s="141"/>
      <c r="L94" s="138"/>
      <c r="M94" s="141"/>
      <c r="N94" s="147"/>
      <c r="O94" s="106">
        <v>2</v>
      </c>
      <c r="P94" s="120"/>
      <c r="Q94" s="110" t="str">
        <f t="shared" si="58"/>
        <v/>
      </c>
      <c r="R94" s="108"/>
      <c r="S94" s="108"/>
      <c r="T94" s="111" t="str">
        <f t="shared" si="59"/>
        <v/>
      </c>
      <c r="U94" s="121"/>
      <c r="V94" s="121"/>
      <c r="W94" s="121"/>
      <c r="X94" s="112" t="str">
        <f t="shared" si="60"/>
        <v/>
      </c>
      <c r="Y94" s="113" t="str">
        <f t="shared" si="61"/>
        <v/>
      </c>
      <c r="Z94" s="111" t="str">
        <f t="shared" si="62"/>
        <v/>
      </c>
      <c r="AA94" s="113" t="str">
        <f t="shared" si="63"/>
        <v/>
      </c>
      <c r="AB94" s="111" t="str">
        <f t="shared" si="64"/>
        <v/>
      </c>
      <c r="AC94" s="114" t="str">
        <f t="shared" si="65"/>
        <v/>
      </c>
      <c r="AD94" s="129"/>
      <c r="AE94" s="126"/>
      <c r="AF94" s="107"/>
      <c r="AG94" s="107"/>
      <c r="AH94" s="109"/>
      <c r="AI94" s="109"/>
      <c r="AJ94" s="107"/>
      <c r="AK94" s="106"/>
    </row>
    <row r="95" spans="1:37" ht="16.5" customHeight="1" x14ac:dyDescent="0.2">
      <c r="A95" s="135"/>
      <c r="B95" s="132"/>
      <c r="C95" s="132"/>
      <c r="D95" s="132"/>
      <c r="E95" s="132"/>
      <c r="F95" s="132"/>
      <c r="G95" s="135"/>
      <c r="H95" s="138"/>
      <c r="I95" s="141"/>
      <c r="J95" s="144"/>
      <c r="K95" s="141"/>
      <c r="L95" s="138"/>
      <c r="M95" s="141"/>
      <c r="N95" s="147"/>
      <c r="O95" s="106">
        <v>3</v>
      </c>
      <c r="P95" s="120"/>
      <c r="Q95" s="110" t="str">
        <f t="shared" si="58"/>
        <v/>
      </c>
      <c r="R95" s="108"/>
      <c r="S95" s="108"/>
      <c r="T95" s="111" t="str">
        <f t="shared" si="59"/>
        <v/>
      </c>
      <c r="U95" s="121"/>
      <c r="V95" s="121"/>
      <c r="W95" s="121"/>
      <c r="X95" s="112" t="str">
        <f t="shared" si="60"/>
        <v/>
      </c>
      <c r="Y95" s="113" t="str">
        <f t="shared" si="61"/>
        <v/>
      </c>
      <c r="Z95" s="111" t="str">
        <f t="shared" si="62"/>
        <v/>
      </c>
      <c r="AA95" s="113" t="str">
        <f t="shared" si="63"/>
        <v/>
      </c>
      <c r="AB95" s="111" t="str">
        <f t="shared" si="64"/>
        <v/>
      </c>
      <c r="AC95" s="114" t="str">
        <f t="shared" si="65"/>
        <v/>
      </c>
      <c r="AD95" s="129"/>
      <c r="AE95" s="127"/>
      <c r="AF95" s="107"/>
      <c r="AG95" s="107"/>
      <c r="AH95" s="109"/>
      <c r="AI95" s="109"/>
      <c r="AJ95" s="107"/>
      <c r="AK95" s="106"/>
    </row>
    <row r="96" spans="1:37" ht="16.5" customHeight="1" x14ac:dyDescent="0.2">
      <c r="A96" s="135"/>
      <c r="B96" s="132"/>
      <c r="C96" s="132"/>
      <c r="D96" s="132"/>
      <c r="E96" s="132"/>
      <c r="F96" s="132"/>
      <c r="G96" s="135"/>
      <c r="H96" s="138"/>
      <c r="I96" s="141"/>
      <c r="J96" s="144"/>
      <c r="K96" s="141"/>
      <c r="L96" s="138"/>
      <c r="M96" s="141"/>
      <c r="N96" s="147"/>
      <c r="O96" s="106">
        <v>4</v>
      </c>
      <c r="P96" s="120"/>
      <c r="Q96" s="110" t="str">
        <f t="shared" si="58"/>
        <v/>
      </c>
      <c r="R96" s="108"/>
      <c r="S96" s="108"/>
      <c r="T96" s="111" t="str">
        <f t="shared" si="59"/>
        <v/>
      </c>
      <c r="U96" s="121"/>
      <c r="V96" s="121"/>
      <c r="W96" s="121"/>
      <c r="X96" s="112" t="str">
        <f t="shared" si="60"/>
        <v/>
      </c>
      <c r="Y96" s="113" t="str">
        <f t="shared" si="61"/>
        <v/>
      </c>
      <c r="Z96" s="111" t="str">
        <f t="shared" si="62"/>
        <v/>
      </c>
      <c r="AA96" s="113" t="str">
        <f t="shared" si="63"/>
        <v/>
      </c>
      <c r="AB96" s="111" t="str">
        <f t="shared" si="64"/>
        <v/>
      </c>
      <c r="AC96" s="114" t="str">
        <f t="shared" si="65"/>
        <v/>
      </c>
      <c r="AD96" s="129"/>
      <c r="AE96" s="108"/>
      <c r="AF96" s="107"/>
      <c r="AG96" s="107"/>
      <c r="AH96" s="109"/>
      <c r="AI96" s="109"/>
      <c r="AJ96" s="107"/>
      <c r="AK96" s="106"/>
    </row>
    <row r="97" spans="1:37" ht="16.5" customHeight="1" x14ac:dyDescent="0.2">
      <c r="A97" s="135"/>
      <c r="B97" s="132"/>
      <c r="C97" s="132"/>
      <c r="D97" s="132"/>
      <c r="E97" s="132"/>
      <c r="F97" s="132"/>
      <c r="G97" s="135"/>
      <c r="H97" s="138"/>
      <c r="I97" s="141"/>
      <c r="J97" s="144"/>
      <c r="K97" s="141"/>
      <c r="L97" s="138"/>
      <c r="M97" s="141"/>
      <c r="N97" s="147"/>
      <c r="O97" s="106">
        <v>5</v>
      </c>
      <c r="P97" s="120"/>
      <c r="Q97" s="110" t="str">
        <f t="shared" si="58"/>
        <v/>
      </c>
      <c r="R97" s="108"/>
      <c r="S97" s="108"/>
      <c r="T97" s="111" t="str">
        <f t="shared" si="59"/>
        <v/>
      </c>
      <c r="U97" s="121"/>
      <c r="V97" s="121"/>
      <c r="W97" s="121"/>
      <c r="X97" s="112" t="str">
        <f t="shared" si="60"/>
        <v/>
      </c>
      <c r="Y97" s="113" t="str">
        <f t="shared" si="61"/>
        <v/>
      </c>
      <c r="Z97" s="111" t="str">
        <f t="shared" si="62"/>
        <v/>
      </c>
      <c r="AA97" s="113" t="str">
        <f t="shared" si="63"/>
        <v/>
      </c>
      <c r="AB97" s="111" t="str">
        <f t="shared" si="64"/>
        <v/>
      </c>
      <c r="AC97" s="114" t="str">
        <f t="shared" si="65"/>
        <v/>
      </c>
      <c r="AD97" s="129"/>
      <c r="AE97" s="108"/>
      <c r="AF97" s="107"/>
      <c r="AG97" s="107"/>
      <c r="AH97" s="109"/>
      <c r="AI97" s="109"/>
      <c r="AJ97" s="107"/>
      <c r="AK97" s="106"/>
    </row>
    <row r="98" spans="1:37" ht="16.5" customHeight="1" x14ac:dyDescent="0.2">
      <c r="A98" s="135"/>
      <c r="B98" s="132"/>
      <c r="C98" s="132"/>
      <c r="D98" s="132"/>
      <c r="E98" s="132"/>
      <c r="F98" s="132"/>
      <c r="G98" s="135"/>
      <c r="H98" s="138"/>
      <c r="I98" s="141"/>
      <c r="J98" s="144"/>
      <c r="K98" s="141"/>
      <c r="L98" s="138"/>
      <c r="M98" s="141"/>
      <c r="N98" s="147"/>
      <c r="O98" s="106">
        <v>6</v>
      </c>
      <c r="P98" s="120"/>
      <c r="Q98" s="110" t="str">
        <f t="shared" si="58"/>
        <v/>
      </c>
      <c r="R98" s="108"/>
      <c r="S98" s="108"/>
      <c r="T98" s="111" t="str">
        <f t="shared" si="59"/>
        <v/>
      </c>
      <c r="U98" s="121"/>
      <c r="V98" s="121"/>
      <c r="W98" s="121"/>
      <c r="X98" s="112" t="str">
        <f t="shared" si="60"/>
        <v/>
      </c>
      <c r="Y98" s="113" t="str">
        <f t="shared" si="61"/>
        <v/>
      </c>
      <c r="Z98" s="111" t="str">
        <f t="shared" si="62"/>
        <v/>
      </c>
      <c r="AA98" s="113" t="str">
        <f t="shared" si="63"/>
        <v/>
      </c>
      <c r="AB98" s="111" t="str">
        <f t="shared" si="64"/>
        <v/>
      </c>
      <c r="AC98" s="114" t="str">
        <f t="shared" si="65"/>
        <v/>
      </c>
      <c r="AD98" s="129"/>
      <c r="AE98" s="108"/>
      <c r="AF98" s="107"/>
      <c r="AG98" s="107"/>
      <c r="AH98" s="109"/>
      <c r="AI98" s="109"/>
      <c r="AJ98" s="107"/>
      <c r="AK98" s="106"/>
    </row>
    <row r="99" spans="1:37" ht="16.5" customHeight="1" x14ac:dyDescent="0.2">
      <c r="A99" s="136"/>
      <c r="B99" s="133"/>
      <c r="C99" s="133"/>
      <c r="D99" s="133"/>
      <c r="E99" s="133"/>
      <c r="F99" s="133"/>
      <c r="G99" s="136"/>
      <c r="H99" s="139"/>
      <c r="I99" s="142"/>
      <c r="J99" s="145"/>
      <c r="K99" s="142"/>
      <c r="L99" s="139"/>
      <c r="M99" s="142"/>
      <c r="N99" s="148"/>
      <c r="O99" s="106">
        <v>7</v>
      </c>
      <c r="P99" s="120"/>
      <c r="Q99" s="110" t="str">
        <f t="shared" si="58"/>
        <v/>
      </c>
      <c r="R99" s="108"/>
      <c r="S99" s="108"/>
      <c r="T99" s="111" t="str">
        <f t="shared" si="59"/>
        <v/>
      </c>
      <c r="U99" s="121"/>
      <c r="V99" s="121"/>
      <c r="W99" s="121"/>
      <c r="X99" s="112" t="str">
        <f t="shared" si="60"/>
        <v/>
      </c>
      <c r="Y99" s="113" t="str">
        <f t="shared" si="61"/>
        <v/>
      </c>
      <c r="Z99" s="111" t="str">
        <f t="shared" si="62"/>
        <v/>
      </c>
      <c r="AA99" s="113" t="str">
        <f t="shared" si="63"/>
        <v/>
      </c>
      <c r="AB99" s="111" t="str">
        <f t="shared" si="64"/>
        <v/>
      </c>
      <c r="AC99" s="114" t="str">
        <f t="shared" si="65"/>
        <v/>
      </c>
      <c r="AD99" s="130"/>
      <c r="AE99" s="108"/>
      <c r="AF99" s="107"/>
      <c r="AG99" s="107"/>
      <c r="AH99" s="109"/>
      <c r="AI99" s="109"/>
      <c r="AJ99" s="107"/>
      <c r="AK99" s="106"/>
    </row>
    <row r="100" spans="1:37" ht="16.5" customHeight="1" x14ac:dyDescent="0.2">
      <c r="A100" s="134">
        <v>13</v>
      </c>
      <c r="B100" s="131"/>
      <c r="C100" s="131"/>
      <c r="D100" s="131"/>
      <c r="E100" s="131"/>
      <c r="F100" s="131"/>
      <c r="G100" s="134"/>
      <c r="H100" s="137" t="str">
        <f t="shared" ref="H100" si="76">IF(G100&lt;=0,"",IF(G100&lt;=2,"Muy Baja",IF(G100&lt;=24,"Baja",IF(G100&lt;=500,"Media",IF(G100&lt;=5000,"Alta","Muy Alta")))))</f>
        <v/>
      </c>
      <c r="I100" s="140" t="str">
        <f t="shared" ref="I100" si="77">IF(H100="","",IF(H100="Muy Baja",0.2,IF(H100="Baja",0.4,IF(H100="Media",0.6,IF(H100="Alta",0.8,IF(H100="Muy Alta",1,))))))</f>
        <v/>
      </c>
      <c r="J100" s="143"/>
      <c r="K100" s="140">
        <f>IF(NOT(ISERROR(MATCH(J100,'[1]Tabla Impacto'!$B$221:$B$223,0))),'[1]Tabla Impacto'!$F$223&amp;"Por favor no seleccionar los criterios de impacto(Afectación Económica o presupuestal y Pérdida Reputacional)",J100)</f>
        <v>0</v>
      </c>
      <c r="L100" s="137" t="str">
        <f>IF(OR(K100='[1]Tabla Impacto'!$C$11,K100='[1]Tabla Impacto'!$D$11),"Leve",IF(OR(K100='[1]Tabla Impacto'!$C$12,K100='[1]Tabla Impacto'!$D$12),"Menor",IF(OR(K100='[1]Tabla Impacto'!$C$13,K100='[1]Tabla Impacto'!$D$13),"Moderado",IF(OR(K100='[1]Tabla Impacto'!$C$14,K100='[1]Tabla Impacto'!$D$14),"Mayor",IF(OR(K100='[1]Tabla Impacto'!$C$15,K100='[1]Tabla Impacto'!$D$15),"Catastrófico","")))))</f>
        <v/>
      </c>
      <c r="M100" s="140" t="str">
        <f t="shared" ref="M100" si="78">IF(L100="","",IF(L100="Leve",0.2,IF(L100="Menor",0.4,IF(L100="Moderado",0.6,IF(L100="Mayor",0.8,IF(L100="Catastrófico",1,))))))</f>
        <v/>
      </c>
      <c r="N100" s="146" t="str">
        <f t="shared" ref="N100" si="79">IF(OR(AND(H100="Muy Baja",L100="Leve"),AND(H100="Muy Baja",L100="Menor"),AND(H100="Baja",L100="Leve")),"Bajo",IF(OR(AND(H100="Muy baja",L100="Moderado"),AND(H100="Baja",L100="Menor"),AND(H100="Baja",L100="Moderado"),AND(H100="Media",L100="Leve"),AND(H100="Media",L100="Menor"),AND(H100="Media",L100="Moderado"),AND(H100="Alta",L100="Leve"),AND(H100="Alta",L100="Menor")),"Moderado",IF(OR(AND(H100="Muy Baja",L100="Mayor"),AND(H100="Baja",L100="Mayor"),AND(H100="Media",L100="Mayor"),AND(H100="Alta",L100="Moderado"),AND(H100="Alta",L100="Mayor"),AND(H100="Muy Alta",L100="Leve"),AND(H100="Muy Alta",L100="Menor"),AND(H100="Muy Alta",L100="Moderado"),AND(H100="Muy Alta",L100="Mayor")),"Alto",IF(OR(AND(H100="Muy Baja",L100="Catastrófico"),AND(H100="Baja",L100="Catastrófico"),AND(H100="Media",L100="Catastrófico"),AND(H100="Alta",L100="Catastrófico"),AND(H100="Muy Alta",L100="Catastrófico")),"Extremo",""))))</f>
        <v/>
      </c>
      <c r="O100" s="106">
        <v>1</v>
      </c>
      <c r="P100" s="120"/>
      <c r="Q100" s="110" t="str">
        <f t="shared" si="58"/>
        <v/>
      </c>
      <c r="R100" s="108"/>
      <c r="S100" s="108"/>
      <c r="T100" s="111" t="str">
        <f t="shared" si="59"/>
        <v/>
      </c>
      <c r="U100" s="121"/>
      <c r="V100" s="121"/>
      <c r="W100" s="121"/>
      <c r="X100" s="112" t="str">
        <f t="shared" si="60"/>
        <v/>
      </c>
      <c r="Y100" s="113" t="str">
        <f t="shared" si="61"/>
        <v/>
      </c>
      <c r="Z100" s="111" t="str">
        <f t="shared" si="62"/>
        <v/>
      </c>
      <c r="AA100" s="113" t="str">
        <f t="shared" si="63"/>
        <v/>
      </c>
      <c r="AB100" s="111" t="str">
        <f t="shared" si="64"/>
        <v/>
      </c>
      <c r="AC100" s="114" t="str">
        <f t="shared" si="65"/>
        <v/>
      </c>
      <c r="AD100" s="128" t="b">
        <f t="shared" ref="AD100" si="80">IFERROR(IF(OR(AND(AC100="Bajo",AC101="Bajo",AC102="Bajo"),AND(AC100="Bajo",AC101="Bajo",AC102=""),AND(AC100="Bajo",AC101="",AC102="")),"Bajo",IF(OR(AND(AC100="Bajo",AC101="Bajo",AC102="Moderado"),AND(AC100="Bajo",AC101="Moderado",AC102="Moderado"),AND(AC100="Moderado",AC101="Moderado",AC102="Moderado"),AND(AC100="Bajo",AC101="Moderado",AC102=""),AND(AC100="Moderado",AC101="Bajo",AC102=""),AND(AC100="Moderado",AC101="Moderado",AC102=""),AND(AC100="Moderado",AC101="",AC102="")),"Moderado",IF(OR(AND(AC100="Bajo",AC101="Bajo",AC102="Alto"),AND(AC100="Bajo",AC101="Moderado",AC102="Alto"),AND(AC100="Moderado",AC101="Bajo",AC102="Alto"),AND(AC100="Moderado",AC101="Alto",AC102="Bajo"),AND(AC100="Moderado",AC101="Moderado",AC102="Alto"),AND(AC100="Alto",AC101="Bajo",AC102="Bajo"),AND(AC100="Alto",AC101="Moderado",AC102="Bajo"),AND(AC100="Alto",AC101="Moderado",AC102="Moderado"),AND(AC100="Alto",AC101="Alto",AC102="Bajo"),AND(AC100="Alto",AC101="Alto",AC102="Moderado"),AND(AC100="Alto",AC101="Alto",AC102="Alto"),AND(AC100="Alto",AC101="Bajo",AC102=""),AND(AC100="Alto",AC101="Moderado",AC102=""),AND(AC100="Alto",AC101="Alto",AC102=""),AND(AC100="Bajo",AC101="Alto",AC102=""),AND(AC100="Moderado",AC101="Alto",AC102=""),AND(AC100="Alto",AC101="",AC102="")),"Alto",IF(OR(AND(AC100="Bajo",AC101="Bajo",AC102="Extremo"),AND(AC100="Bajo",AC101="Moderado",AC102="Extremo"),AND(AC100="Bajo",AC101="Alto",AC102="Extremo"),AND(AC100="Moderado",AC101="Bajo",AC102="Extremo"),AND(AC100="Moderado",AC101="Alto",AC102="Extremo"),AND(AC100="Moderado",AC101="Moderado",AC102="Extremo"),AND(AC100="Alto",AC101="Bajo",AC102="Extremo"),AND(AC100="Alto",AC101="Moderado",AC102="Extremo"),AND(AC100="Alto",AC101="Alto",AC102="Extremo"),AND(AC100="Extremo",AC101="Bajo",AC102="Bajo"),AND(AC100="Extremo",AC101="Bajo",AC102="Moderado"),AND(AC100="Extremo",AC101="Bajo",AC102="Alto"),AND(AC100="Extremo",AC101="Moderado",AC102="Bajo"),AND(AC100="Extremo",AC101="Moderado",AC102="Moderado"),AND(AC100="Extremo",AC101="Moderado",AC102="Alto"),AND(AC100="Extremo",AC101="Alto",AC102="Bajo"),AND(AC100="Extremo",AC101="Alto",AC102="Moderado"),AND(AC100="Extremo",AC101="Alto",AC102="Alto"),AND(AC100="Extremo",AC101="Extremo",AC102="Bajo"),AND(AC100="Extremo",AC101="Extremo",AC102="Moderado"),AND(AC100="Extremo",AC101="Extremo",AC102="Alto"),AND(AC100="Extremo",AC101="Extremo",AC102="Extremo"),AND(AC100="Extremo",AC101="Bajo",AC102=""),AND(AC100="Extremo",AC101="Moderado",AC102=""),AND(AC100="Extremo",AC101="Alto",AC102=""),AND(AC100="Extremo",AC101="",AC102="")),"Extremo")))),"")</f>
        <v>0</v>
      </c>
      <c r="AE100" s="125"/>
      <c r="AF100" s="107"/>
      <c r="AG100" s="107"/>
      <c r="AH100" s="109"/>
      <c r="AI100" s="109"/>
      <c r="AJ100" s="107"/>
      <c r="AK100" s="106"/>
    </row>
    <row r="101" spans="1:37" x14ac:dyDescent="0.2">
      <c r="A101" s="135"/>
      <c r="B101" s="132"/>
      <c r="C101" s="132"/>
      <c r="D101" s="132"/>
      <c r="E101" s="132"/>
      <c r="F101" s="132"/>
      <c r="G101" s="135"/>
      <c r="H101" s="138"/>
      <c r="I101" s="141"/>
      <c r="J101" s="144"/>
      <c r="K101" s="141"/>
      <c r="L101" s="138"/>
      <c r="M101" s="141"/>
      <c r="N101" s="147"/>
      <c r="O101" s="106">
        <v>2</v>
      </c>
      <c r="P101" s="120"/>
      <c r="Q101" s="110" t="str">
        <f t="shared" si="58"/>
        <v/>
      </c>
      <c r="R101" s="108"/>
      <c r="S101" s="108"/>
      <c r="T101" s="111" t="str">
        <f t="shared" si="59"/>
        <v/>
      </c>
      <c r="U101" s="121"/>
      <c r="V101" s="121"/>
      <c r="W101" s="121"/>
      <c r="X101" s="112" t="str">
        <f t="shared" si="60"/>
        <v/>
      </c>
      <c r="Y101" s="113" t="str">
        <f t="shared" si="61"/>
        <v/>
      </c>
      <c r="Z101" s="111" t="str">
        <f t="shared" si="62"/>
        <v/>
      </c>
      <c r="AA101" s="113" t="str">
        <f t="shared" si="63"/>
        <v/>
      </c>
      <c r="AB101" s="111" t="str">
        <f t="shared" si="64"/>
        <v/>
      </c>
      <c r="AC101" s="114" t="str">
        <f t="shared" si="65"/>
        <v/>
      </c>
      <c r="AD101" s="129"/>
      <c r="AE101" s="126"/>
      <c r="AF101" s="107"/>
      <c r="AG101" s="107"/>
      <c r="AH101" s="109"/>
      <c r="AI101" s="109"/>
      <c r="AJ101" s="107"/>
      <c r="AK101" s="106"/>
    </row>
    <row r="102" spans="1:37" x14ac:dyDescent="0.2">
      <c r="A102" s="135"/>
      <c r="B102" s="132"/>
      <c r="C102" s="132"/>
      <c r="D102" s="132"/>
      <c r="E102" s="132"/>
      <c r="F102" s="132"/>
      <c r="G102" s="135"/>
      <c r="H102" s="138"/>
      <c r="I102" s="141"/>
      <c r="J102" s="144"/>
      <c r="K102" s="141"/>
      <c r="L102" s="138"/>
      <c r="M102" s="141"/>
      <c r="N102" s="147"/>
      <c r="O102" s="106">
        <v>3</v>
      </c>
      <c r="P102" s="120"/>
      <c r="Q102" s="110" t="str">
        <f t="shared" si="58"/>
        <v/>
      </c>
      <c r="R102" s="108"/>
      <c r="S102" s="108"/>
      <c r="T102" s="111" t="str">
        <f t="shared" si="59"/>
        <v/>
      </c>
      <c r="U102" s="121"/>
      <c r="V102" s="121"/>
      <c r="W102" s="121"/>
      <c r="X102" s="112" t="str">
        <f t="shared" si="60"/>
        <v/>
      </c>
      <c r="Y102" s="113" t="str">
        <f t="shared" si="61"/>
        <v/>
      </c>
      <c r="Z102" s="111" t="str">
        <f t="shared" si="62"/>
        <v/>
      </c>
      <c r="AA102" s="113" t="str">
        <f t="shared" si="63"/>
        <v/>
      </c>
      <c r="AB102" s="111" t="str">
        <f t="shared" si="64"/>
        <v/>
      </c>
      <c r="AC102" s="114" t="str">
        <f t="shared" si="65"/>
        <v/>
      </c>
      <c r="AD102" s="129"/>
      <c r="AE102" s="127"/>
      <c r="AF102" s="107"/>
      <c r="AG102" s="107"/>
      <c r="AH102" s="109"/>
      <c r="AI102" s="109"/>
      <c r="AJ102" s="107"/>
      <c r="AK102" s="106"/>
    </row>
    <row r="103" spans="1:37" ht="16.5" customHeight="1" x14ac:dyDescent="0.2">
      <c r="A103" s="135"/>
      <c r="B103" s="132"/>
      <c r="C103" s="132"/>
      <c r="D103" s="132"/>
      <c r="E103" s="132"/>
      <c r="F103" s="132"/>
      <c r="G103" s="135"/>
      <c r="H103" s="138"/>
      <c r="I103" s="141"/>
      <c r="J103" s="144"/>
      <c r="K103" s="141"/>
      <c r="L103" s="138"/>
      <c r="M103" s="141"/>
      <c r="N103" s="147"/>
      <c r="O103" s="106">
        <v>4</v>
      </c>
      <c r="P103" s="120"/>
      <c r="Q103" s="110" t="str">
        <f t="shared" si="58"/>
        <v/>
      </c>
      <c r="R103" s="108"/>
      <c r="S103" s="108"/>
      <c r="T103" s="111" t="str">
        <f t="shared" si="59"/>
        <v/>
      </c>
      <c r="U103" s="121"/>
      <c r="V103" s="121"/>
      <c r="W103" s="121"/>
      <c r="X103" s="112" t="str">
        <f t="shared" si="60"/>
        <v/>
      </c>
      <c r="Y103" s="113" t="str">
        <f t="shared" si="61"/>
        <v/>
      </c>
      <c r="Z103" s="111" t="str">
        <f t="shared" si="62"/>
        <v/>
      </c>
      <c r="AA103" s="113" t="str">
        <f t="shared" si="63"/>
        <v/>
      </c>
      <c r="AB103" s="111" t="str">
        <f t="shared" si="64"/>
        <v/>
      </c>
      <c r="AC103" s="114" t="str">
        <f t="shared" si="65"/>
        <v/>
      </c>
      <c r="AD103" s="129"/>
      <c r="AE103" s="108"/>
      <c r="AF103" s="107"/>
      <c r="AG103" s="107"/>
      <c r="AH103" s="109"/>
      <c r="AI103" s="109"/>
      <c r="AJ103" s="107"/>
      <c r="AK103" s="106"/>
    </row>
    <row r="104" spans="1:37" ht="16.5" customHeight="1" x14ac:dyDescent="0.2">
      <c r="A104" s="135"/>
      <c r="B104" s="132"/>
      <c r="C104" s="132"/>
      <c r="D104" s="132"/>
      <c r="E104" s="132"/>
      <c r="F104" s="132"/>
      <c r="G104" s="135"/>
      <c r="H104" s="138"/>
      <c r="I104" s="141"/>
      <c r="J104" s="144"/>
      <c r="K104" s="141"/>
      <c r="L104" s="138"/>
      <c r="M104" s="141"/>
      <c r="N104" s="147"/>
      <c r="O104" s="106">
        <v>5</v>
      </c>
      <c r="P104" s="120"/>
      <c r="Q104" s="110" t="str">
        <f t="shared" si="58"/>
        <v/>
      </c>
      <c r="R104" s="108"/>
      <c r="S104" s="108"/>
      <c r="T104" s="111" t="str">
        <f t="shared" si="59"/>
        <v/>
      </c>
      <c r="U104" s="121"/>
      <c r="V104" s="121"/>
      <c r="W104" s="121"/>
      <c r="X104" s="112" t="str">
        <f t="shared" si="60"/>
        <v/>
      </c>
      <c r="Y104" s="113" t="str">
        <f t="shared" si="61"/>
        <v/>
      </c>
      <c r="Z104" s="111" t="str">
        <f t="shared" si="62"/>
        <v/>
      </c>
      <c r="AA104" s="113" t="str">
        <f t="shared" si="63"/>
        <v/>
      </c>
      <c r="AB104" s="111" t="str">
        <f t="shared" si="64"/>
        <v/>
      </c>
      <c r="AC104" s="114" t="str">
        <f t="shared" si="65"/>
        <v/>
      </c>
      <c r="AD104" s="129"/>
      <c r="AE104" s="108"/>
      <c r="AF104" s="107"/>
      <c r="AG104" s="107"/>
      <c r="AH104" s="109"/>
      <c r="AI104" s="109"/>
      <c r="AJ104" s="107"/>
      <c r="AK104" s="106"/>
    </row>
    <row r="105" spans="1:37" ht="16.5" customHeight="1" x14ac:dyDescent="0.2">
      <c r="A105" s="135"/>
      <c r="B105" s="132"/>
      <c r="C105" s="132"/>
      <c r="D105" s="132"/>
      <c r="E105" s="132"/>
      <c r="F105" s="132"/>
      <c r="G105" s="135"/>
      <c r="H105" s="138"/>
      <c r="I105" s="141"/>
      <c r="J105" s="144"/>
      <c r="K105" s="141"/>
      <c r="L105" s="138"/>
      <c r="M105" s="141"/>
      <c r="N105" s="147"/>
      <c r="O105" s="106">
        <v>6</v>
      </c>
      <c r="P105" s="120"/>
      <c r="Q105" s="110" t="str">
        <f t="shared" si="58"/>
        <v/>
      </c>
      <c r="R105" s="108"/>
      <c r="S105" s="108"/>
      <c r="T105" s="111" t="str">
        <f t="shared" si="59"/>
        <v/>
      </c>
      <c r="U105" s="121"/>
      <c r="V105" s="121"/>
      <c r="W105" s="121"/>
      <c r="X105" s="112" t="str">
        <f t="shared" si="60"/>
        <v/>
      </c>
      <c r="Y105" s="113" t="str">
        <f t="shared" si="61"/>
        <v/>
      </c>
      <c r="Z105" s="111" t="str">
        <f t="shared" si="62"/>
        <v/>
      </c>
      <c r="AA105" s="113" t="str">
        <f t="shared" si="63"/>
        <v/>
      </c>
      <c r="AB105" s="111" t="str">
        <f t="shared" si="64"/>
        <v/>
      </c>
      <c r="AC105" s="114" t="str">
        <f t="shared" si="65"/>
        <v/>
      </c>
      <c r="AD105" s="129"/>
      <c r="AE105" s="108"/>
      <c r="AF105" s="107"/>
      <c r="AG105" s="107"/>
      <c r="AH105" s="109"/>
      <c r="AI105" s="109"/>
      <c r="AJ105" s="107"/>
      <c r="AK105" s="106"/>
    </row>
    <row r="106" spans="1:37" ht="16.5" customHeight="1" x14ac:dyDescent="0.2">
      <c r="A106" s="136"/>
      <c r="B106" s="133"/>
      <c r="C106" s="133"/>
      <c r="D106" s="133"/>
      <c r="E106" s="133"/>
      <c r="F106" s="133"/>
      <c r="G106" s="136"/>
      <c r="H106" s="139"/>
      <c r="I106" s="142"/>
      <c r="J106" s="145"/>
      <c r="K106" s="142"/>
      <c r="L106" s="139"/>
      <c r="M106" s="142"/>
      <c r="N106" s="148"/>
      <c r="O106" s="106">
        <v>7</v>
      </c>
      <c r="P106" s="120"/>
      <c r="Q106" s="110" t="str">
        <f t="shared" si="58"/>
        <v/>
      </c>
      <c r="R106" s="108"/>
      <c r="S106" s="108"/>
      <c r="T106" s="111" t="str">
        <f t="shared" si="59"/>
        <v/>
      </c>
      <c r="U106" s="121"/>
      <c r="V106" s="121"/>
      <c r="W106" s="121"/>
      <c r="X106" s="112" t="str">
        <f t="shared" si="60"/>
        <v/>
      </c>
      <c r="Y106" s="113" t="str">
        <f t="shared" si="61"/>
        <v/>
      </c>
      <c r="Z106" s="111" t="str">
        <f t="shared" si="62"/>
        <v/>
      </c>
      <c r="AA106" s="113" t="str">
        <f t="shared" si="63"/>
        <v/>
      </c>
      <c r="AB106" s="111" t="str">
        <f t="shared" si="64"/>
        <v/>
      </c>
      <c r="AC106" s="114" t="str">
        <f t="shared" si="65"/>
        <v/>
      </c>
      <c r="AD106" s="130"/>
      <c r="AE106" s="108"/>
      <c r="AF106" s="107"/>
      <c r="AG106" s="107"/>
      <c r="AH106" s="109"/>
      <c r="AI106" s="109"/>
      <c r="AJ106" s="107"/>
      <c r="AK106" s="106"/>
    </row>
    <row r="107" spans="1:37" ht="16.5" customHeight="1" x14ac:dyDescent="0.2">
      <c r="A107" s="134">
        <v>14</v>
      </c>
      <c r="B107" s="131"/>
      <c r="C107" s="131"/>
      <c r="D107" s="131"/>
      <c r="E107" s="131"/>
      <c r="F107" s="131"/>
      <c r="G107" s="134"/>
      <c r="H107" s="137" t="str">
        <f t="shared" ref="H107" si="81">IF(G107&lt;=0,"",IF(G107&lt;=2,"Muy Baja",IF(G107&lt;=24,"Baja",IF(G107&lt;=500,"Media",IF(G107&lt;=5000,"Alta","Muy Alta")))))</f>
        <v/>
      </c>
      <c r="I107" s="140" t="str">
        <f t="shared" ref="I107" si="82">IF(H107="","",IF(H107="Muy Baja",0.2,IF(H107="Baja",0.4,IF(H107="Media",0.6,IF(H107="Alta",0.8,IF(H107="Muy Alta",1,))))))</f>
        <v/>
      </c>
      <c r="J107" s="143"/>
      <c r="K107" s="140">
        <f>IF(NOT(ISERROR(MATCH(J107,'[1]Tabla Impacto'!$B$221:$B$223,0))),'[1]Tabla Impacto'!$F$223&amp;"Por favor no seleccionar los criterios de impacto(Afectación Económica o presupuestal y Pérdida Reputacional)",J107)</f>
        <v>0</v>
      </c>
      <c r="L107" s="137" t="str">
        <f>IF(OR(K107='[1]Tabla Impacto'!$C$11,K107='[1]Tabla Impacto'!$D$11),"Leve",IF(OR(K107='[1]Tabla Impacto'!$C$12,K107='[1]Tabla Impacto'!$D$12),"Menor",IF(OR(K107='[1]Tabla Impacto'!$C$13,K107='[1]Tabla Impacto'!$D$13),"Moderado",IF(OR(K107='[1]Tabla Impacto'!$C$14,K107='[1]Tabla Impacto'!$D$14),"Mayor",IF(OR(K107='[1]Tabla Impacto'!$C$15,K107='[1]Tabla Impacto'!$D$15),"Catastrófico","")))))</f>
        <v/>
      </c>
      <c r="M107" s="140" t="str">
        <f t="shared" ref="M107" si="83">IF(L107="","",IF(L107="Leve",0.2,IF(L107="Menor",0.4,IF(L107="Moderado",0.6,IF(L107="Mayor",0.8,IF(L107="Catastrófico",1,))))))</f>
        <v/>
      </c>
      <c r="N107" s="146" t="str">
        <f t="shared" ref="N107" si="84">IF(OR(AND(H107="Muy Baja",L107="Leve"),AND(H107="Muy Baja",L107="Menor"),AND(H107="Baja",L107="Leve")),"Bajo",IF(OR(AND(H107="Muy baja",L107="Moderado"),AND(H107="Baja",L107="Menor"),AND(H107="Baja",L107="Moderado"),AND(H107="Media",L107="Leve"),AND(H107="Media",L107="Menor"),AND(H107="Media",L107="Moderado"),AND(H107="Alta",L107="Leve"),AND(H107="Alta",L107="Menor")),"Moderado",IF(OR(AND(H107="Muy Baja",L107="Mayor"),AND(H107="Baja",L107="Mayor"),AND(H107="Media",L107="Mayor"),AND(H107="Alta",L107="Moderado"),AND(H107="Alta",L107="Mayor"),AND(H107="Muy Alta",L107="Leve"),AND(H107="Muy Alta",L107="Menor"),AND(H107="Muy Alta",L107="Moderado"),AND(H107="Muy Alta",L107="Mayor")),"Alto",IF(OR(AND(H107="Muy Baja",L107="Catastrófico"),AND(H107="Baja",L107="Catastrófico"),AND(H107="Media",L107="Catastrófico"),AND(H107="Alta",L107="Catastrófico"),AND(H107="Muy Alta",L107="Catastrófico")),"Extremo",""))))</f>
        <v/>
      </c>
      <c r="O107" s="106">
        <v>1</v>
      </c>
      <c r="P107" s="120"/>
      <c r="Q107" s="110" t="str">
        <f t="shared" si="58"/>
        <v/>
      </c>
      <c r="R107" s="108"/>
      <c r="S107" s="108"/>
      <c r="T107" s="111" t="str">
        <f t="shared" si="59"/>
        <v/>
      </c>
      <c r="U107" s="121"/>
      <c r="V107" s="121"/>
      <c r="W107" s="121"/>
      <c r="X107" s="112" t="str">
        <f t="shared" si="60"/>
        <v/>
      </c>
      <c r="Y107" s="113" t="str">
        <f t="shared" si="61"/>
        <v/>
      </c>
      <c r="Z107" s="111" t="str">
        <f t="shared" si="62"/>
        <v/>
      </c>
      <c r="AA107" s="113" t="str">
        <f t="shared" si="63"/>
        <v/>
      </c>
      <c r="AB107" s="111" t="str">
        <f t="shared" si="64"/>
        <v/>
      </c>
      <c r="AC107" s="114" t="str">
        <f t="shared" si="65"/>
        <v/>
      </c>
      <c r="AD107" s="128" t="b">
        <f t="shared" ref="AD107" si="85">IFERROR(IF(OR(AND(AC107="Bajo",AC108="Bajo",AC109="Bajo"),AND(AC107="Bajo",AC108="Bajo",AC109=""),AND(AC107="Bajo",AC108="",AC109="")),"Bajo",IF(OR(AND(AC107="Bajo",AC108="Bajo",AC109="Moderado"),AND(AC107="Bajo",AC108="Moderado",AC109="Moderado"),AND(AC107="Moderado",AC108="Moderado",AC109="Moderado"),AND(AC107="Bajo",AC108="Moderado",AC109=""),AND(AC107="Moderado",AC108="Bajo",AC109=""),AND(AC107="Moderado",AC108="Moderado",AC109=""),AND(AC107="Moderado",AC108="",AC109="")),"Moderado",IF(OR(AND(AC107="Bajo",AC108="Bajo",AC109="Alto"),AND(AC107="Bajo",AC108="Moderado",AC109="Alto"),AND(AC107="Moderado",AC108="Bajo",AC109="Alto"),AND(AC107="Moderado",AC108="Alto",AC109="Bajo"),AND(AC107="Moderado",AC108="Moderado",AC109="Alto"),AND(AC107="Alto",AC108="Bajo",AC109="Bajo"),AND(AC107="Alto",AC108="Moderado",AC109="Bajo"),AND(AC107="Alto",AC108="Moderado",AC109="Moderado"),AND(AC107="Alto",AC108="Alto",AC109="Bajo"),AND(AC107="Alto",AC108="Alto",AC109="Moderado"),AND(AC107="Alto",AC108="Alto",AC109="Alto"),AND(AC107="Alto",AC108="Bajo",AC109=""),AND(AC107="Alto",AC108="Moderado",AC109=""),AND(AC107="Alto",AC108="Alto",AC109=""),AND(AC107="Bajo",AC108="Alto",AC109=""),AND(AC107="Moderado",AC108="Alto",AC109=""),AND(AC107="Alto",AC108="",AC109="")),"Alto",IF(OR(AND(AC107="Bajo",AC108="Bajo",AC109="Extremo"),AND(AC107="Bajo",AC108="Moderado",AC109="Extremo"),AND(AC107="Bajo",AC108="Alto",AC109="Extremo"),AND(AC107="Moderado",AC108="Bajo",AC109="Extremo"),AND(AC107="Moderado",AC108="Alto",AC109="Extremo"),AND(AC107="Moderado",AC108="Moderado",AC109="Extremo"),AND(AC107="Alto",AC108="Bajo",AC109="Extremo"),AND(AC107="Alto",AC108="Moderado",AC109="Extremo"),AND(AC107="Alto",AC108="Alto",AC109="Extremo"),AND(AC107="Extremo",AC108="Bajo",AC109="Bajo"),AND(AC107="Extremo",AC108="Bajo",AC109="Moderado"),AND(AC107="Extremo",AC108="Bajo",AC109="Alto"),AND(AC107="Extremo",AC108="Moderado",AC109="Bajo"),AND(AC107="Extremo",AC108="Moderado",AC109="Moderado"),AND(AC107="Extremo",AC108="Moderado",AC109="Alto"),AND(AC107="Extremo",AC108="Alto",AC109="Bajo"),AND(AC107="Extremo",AC108="Alto",AC109="Moderado"),AND(AC107="Extremo",AC108="Alto",AC109="Alto"),AND(AC107="Extremo",AC108="Extremo",AC109="Bajo"),AND(AC107="Extremo",AC108="Extremo",AC109="Moderado"),AND(AC107="Extremo",AC108="Extremo",AC109="Alto"),AND(AC107="Extremo",AC108="Extremo",AC109="Extremo"),AND(AC107="Extremo",AC108="Bajo",AC109=""),AND(AC107="Extremo",AC108="Moderado",AC109=""),AND(AC107="Extremo",AC108="Alto",AC109=""),AND(AC107="Extremo",AC108="",AC109="")),"Extremo")))),"")</f>
        <v>0</v>
      </c>
      <c r="AE107" s="125"/>
      <c r="AF107" s="107"/>
      <c r="AG107" s="107"/>
      <c r="AH107" s="109"/>
      <c r="AI107" s="109"/>
      <c r="AJ107" s="107"/>
      <c r="AK107" s="106"/>
    </row>
    <row r="108" spans="1:37" x14ac:dyDescent="0.2">
      <c r="A108" s="135"/>
      <c r="B108" s="132"/>
      <c r="C108" s="132"/>
      <c r="D108" s="132"/>
      <c r="E108" s="132"/>
      <c r="F108" s="132"/>
      <c r="G108" s="135"/>
      <c r="H108" s="138"/>
      <c r="I108" s="141"/>
      <c r="J108" s="144"/>
      <c r="K108" s="141"/>
      <c r="L108" s="138"/>
      <c r="M108" s="141"/>
      <c r="N108" s="147"/>
      <c r="O108" s="106">
        <v>2</v>
      </c>
      <c r="P108" s="120"/>
      <c r="Q108" s="110" t="str">
        <f t="shared" si="58"/>
        <v/>
      </c>
      <c r="R108" s="108"/>
      <c r="S108" s="108"/>
      <c r="T108" s="111" t="str">
        <f t="shared" si="59"/>
        <v/>
      </c>
      <c r="U108" s="121"/>
      <c r="V108" s="121"/>
      <c r="W108" s="121"/>
      <c r="X108" s="112" t="str">
        <f t="shared" si="60"/>
        <v/>
      </c>
      <c r="Y108" s="113" t="str">
        <f t="shared" si="61"/>
        <v/>
      </c>
      <c r="Z108" s="111" t="str">
        <f t="shared" si="62"/>
        <v/>
      </c>
      <c r="AA108" s="113" t="str">
        <f t="shared" si="63"/>
        <v/>
      </c>
      <c r="AB108" s="111" t="str">
        <f t="shared" si="64"/>
        <v/>
      </c>
      <c r="AC108" s="114" t="str">
        <f t="shared" si="65"/>
        <v/>
      </c>
      <c r="AD108" s="129"/>
      <c r="AE108" s="126"/>
      <c r="AF108" s="107"/>
      <c r="AG108" s="107"/>
      <c r="AH108" s="109"/>
      <c r="AI108" s="109"/>
      <c r="AJ108" s="107"/>
      <c r="AK108" s="106"/>
    </row>
    <row r="109" spans="1:37" x14ac:dyDescent="0.2">
      <c r="A109" s="135"/>
      <c r="B109" s="132"/>
      <c r="C109" s="132"/>
      <c r="D109" s="132"/>
      <c r="E109" s="132"/>
      <c r="F109" s="132"/>
      <c r="G109" s="135"/>
      <c r="H109" s="138"/>
      <c r="I109" s="141"/>
      <c r="J109" s="144"/>
      <c r="K109" s="141"/>
      <c r="L109" s="138"/>
      <c r="M109" s="141"/>
      <c r="N109" s="147"/>
      <c r="O109" s="106">
        <v>3</v>
      </c>
      <c r="P109" s="120"/>
      <c r="Q109" s="110" t="str">
        <f t="shared" si="58"/>
        <v/>
      </c>
      <c r="R109" s="108"/>
      <c r="S109" s="108"/>
      <c r="T109" s="111" t="str">
        <f t="shared" si="59"/>
        <v/>
      </c>
      <c r="U109" s="121"/>
      <c r="V109" s="121"/>
      <c r="W109" s="121"/>
      <c r="X109" s="112" t="str">
        <f t="shared" si="60"/>
        <v/>
      </c>
      <c r="Y109" s="113" t="str">
        <f t="shared" si="61"/>
        <v/>
      </c>
      <c r="Z109" s="111" t="str">
        <f t="shared" si="62"/>
        <v/>
      </c>
      <c r="AA109" s="113" t="str">
        <f t="shared" si="63"/>
        <v/>
      </c>
      <c r="AB109" s="111" t="str">
        <f t="shared" si="64"/>
        <v/>
      </c>
      <c r="AC109" s="114" t="str">
        <f t="shared" si="65"/>
        <v/>
      </c>
      <c r="AD109" s="129"/>
      <c r="AE109" s="127"/>
      <c r="AF109" s="107"/>
      <c r="AG109" s="107"/>
      <c r="AH109" s="109"/>
      <c r="AI109" s="109"/>
      <c r="AJ109" s="107"/>
      <c r="AK109" s="106"/>
    </row>
    <row r="110" spans="1:37" x14ac:dyDescent="0.2">
      <c r="A110" s="135"/>
      <c r="B110" s="132"/>
      <c r="C110" s="132"/>
      <c r="D110" s="132"/>
      <c r="E110" s="132"/>
      <c r="F110" s="132"/>
      <c r="G110" s="135"/>
      <c r="H110" s="138"/>
      <c r="I110" s="141"/>
      <c r="J110" s="144"/>
      <c r="K110" s="141"/>
      <c r="L110" s="138"/>
      <c r="M110" s="141"/>
      <c r="N110" s="147"/>
      <c r="O110" s="106">
        <v>4</v>
      </c>
      <c r="P110" s="120"/>
      <c r="Q110" s="110" t="str">
        <f t="shared" si="58"/>
        <v/>
      </c>
      <c r="R110" s="108"/>
      <c r="S110" s="108"/>
      <c r="T110" s="111" t="str">
        <f t="shared" si="59"/>
        <v/>
      </c>
      <c r="U110" s="121"/>
      <c r="V110" s="121"/>
      <c r="W110" s="121"/>
      <c r="X110" s="112" t="str">
        <f t="shared" si="60"/>
        <v/>
      </c>
      <c r="Y110" s="113" t="str">
        <f t="shared" si="61"/>
        <v/>
      </c>
      <c r="Z110" s="111" t="str">
        <f t="shared" si="62"/>
        <v/>
      </c>
      <c r="AA110" s="113" t="str">
        <f t="shared" si="63"/>
        <v/>
      </c>
      <c r="AB110" s="111" t="str">
        <f t="shared" si="64"/>
        <v/>
      </c>
      <c r="AC110" s="114" t="str">
        <f t="shared" si="65"/>
        <v/>
      </c>
      <c r="AD110" s="129"/>
      <c r="AE110" s="108"/>
      <c r="AF110" s="107"/>
      <c r="AG110" s="107"/>
      <c r="AH110" s="109"/>
      <c r="AI110" s="109"/>
      <c r="AJ110" s="107"/>
      <c r="AK110" s="106"/>
    </row>
    <row r="111" spans="1:37" x14ac:dyDescent="0.2">
      <c r="A111" s="135"/>
      <c r="B111" s="132"/>
      <c r="C111" s="132"/>
      <c r="D111" s="132"/>
      <c r="E111" s="132"/>
      <c r="F111" s="132"/>
      <c r="G111" s="135"/>
      <c r="H111" s="138"/>
      <c r="I111" s="141"/>
      <c r="J111" s="144"/>
      <c r="K111" s="141"/>
      <c r="L111" s="138"/>
      <c r="M111" s="141"/>
      <c r="N111" s="147"/>
      <c r="O111" s="106">
        <v>5</v>
      </c>
      <c r="P111" s="120"/>
      <c r="Q111" s="110" t="str">
        <f t="shared" si="58"/>
        <v/>
      </c>
      <c r="R111" s="108"/>
      <c r="S111" s="108"/>
      <c r="T111" s="111" t="str">
        <f t="shared" si="59"/>
        <v/>
      </c>
      <c r="U111" s="121"/>
      <c r="V111" s="121"/>
      <c r="W111" s="121"/>
      <c r="X111" s="112" t="str">
        <f t="shared" si="60"/>
        <v/>
      </c>
      <c r="Y111" s="113" t="str">
        <f t="shared" si="61"/>
        <v/>
      </c>
      <c r="Z111" s="111" t="str">
        <f t="shared" si="62"/>
        <v/>
      </c>
      <c r="AA111" s="113" t="str">
        <f t="shared" si="63"/>
        <v/>
      </c>
      <c r="AB111" s="111" t="str">
        <f t="shared" si="64"/>
        <v/>
      </c>
      <c r="AC111" s="114" t="str">
        <f t="shared" si="65"/>
        <v/>
      </c>
      <c r="AD111" s="129"/>
      <c r="AE111" s="108"/>
      <c r="AF111" s="107"/>
      <c r="AG111" s="107"/>
      <c r="AH111" s="109"/>
      <c r="AI111" s="109"/>
      <c r="AJ111" s="107"/>
      <c r="AK111" s="106"/>
    </row>
    <row r="112" spans="1:37" x14ac:dyDescent="0.2">
      <c r="A112" s="135"/>
      <c r="B112" s="132"/>
      <c r="C112" s="132"/>
      <c r="D112" s="132"/>
      <c r="E112" s="132"/>
      <c r="F112" s="132"/>
      <c r="G112" s="135"/>
      <c r="H112" s="138"/>
      <c r="I112" s="141"/>
      <c r="J112" s="144"/>
      <c r="K112" s="141"/>
      <c r="L112" s="138"/>
      <c r="M112" s="141"/>
      <c r="N112" s="147"/>
      <c r="O112" s="106">
        <v>6</v>
      </c>
      <c r="P112" s="120"/>
      <c r="Q112" s="110" t="str">
        <f t="shared" si="58"/>
        <v/>
      </c>
      <c r="R112" s="108"/>
      <c r="S112" s="108"/>
      <c r="T112" s="111" t="str">
        <f t="shared" si="59"/>
        <v/>
      </c>
      <c r="U112" s="121"/>
      <c r="V112" s="121"/>
      <c r="W112" s="121"/>
      <c r="X112" s="112" t="str">
        <f t="shared" si="60"/>
        <v/>
      </c>
      <c r="Y112" s="113" t="str">
        <f t="shared" si="61"/>
        <v/>
      </c>
      <c r="Z112" s="111" t="str">
        <f t="shared" si="62"/>
        <v/>
      </c>
      <c r="AA112" s="113" t="str">
        <f t="shared" si="63"/>
        <v/>
      </c>
      <c r="AB112" s="111" t="str">
        <f t="shared" si="64"/>
        <v/>
      </c>
      <c r="AC112" s="114" t="str">
        <f t="shared" si="65"/>
        <v/>
      </c>
      <c r="AD112" s="129"/>
      <c r="AE112" s="108"/>
      <c r="AF112" s="107"/>
      <c r="AG112" s="107"/>
      <c r="AH112" s="109"/>
      <c r="AI112" s="109"/>
      <c r="AJ112" s="107"/>
      <c r="AK112" s="106"/>
    </row>
    <row r="113" spans="1:37" x14ac:dyDescent="0.2">
      <c r="A113" s="136"/>
      <c r="B113" s="133"/>
      <c r="C113" s="133"/>
      <c r="D113" s="133"/>
      <c r="E113" s="133"/>
      <c r="F113" s="133"/>
      <c r="G113" s="136"/>
      <c r="H113" s="139"/>
      <c r="I113" s="142"/>
      <c r="J113" s="145"/>
      <c r="K113" s="142"/>
      <c r="L113" s="139"/>
      <c r="M113" s="142"/>
      <c r="N113" s="148"/>
      <c r="O113" s="106">
        <v>7</v>
      </c>
      <c r="P113" s="120"/>
      <c r="Q113" s="110" t="str">
        <f t="shared" si="58"/>
        <v/>
      </c>
      <c r="R113" s="108"/>
      <c r="S113" s="108"/>
      <c r="T113" s="111" t="str">
        <f t="shared" si="59"/>
        <v/>
      </c>
      <c r="U113" s="121"/>
      <c r="V113" s="121"/>
      <c r="W113" s="121"/>
      <c r="X113" s="112" t="str">
        <f t="shared" si="60"/>
        <v/>
      </c>
      <c r="Y113" s="113" t="str">
        <f t="shared" si="61"/>
        <v/>
      </c>
      <c r="Z113" s="111" t="str">
        <f t="shared" si="62"/>
        <v/>
      </c>
      <c r="AA113" s="113" t="str">
        <f t="shared" si="63"/>
        <v/>
      </c>
      <c r="AB113" s="111" t="str">
        <f t="shared" si="64"/>
        <v/>
      </c>
      <c r="AC113" s="114" t="str">
        <f t="shared" si="65"/>
        <v/>
      </c>
      <c r="AD113" s="130"/>
      <c r="AE113" s="108"/>
      <c r="AF113" s="107"/>
      <c r="AG113" s="107"/>
      <c r="AH113" s="109"/>
      <c r="AI113" s="109"/>
      <c r="AJ113" s="107"/>
      <c r="AK113" s="106"/>
    </row>
    <row r="114" spans="1:37" ht="16.5" customHeight="1" x14ac:dyDescent="0.2">
      <c r="A114" s="134">
        <v>15</v>
      </c>
      <c r="B114" s="131"/>
      <c r="C114" s="131"/>
      <c r="D114" s="131"/>
      <c r="E114" s="131"/>
      <c r="F114" s="131"/>
      <c r="G114" s="134"/>
      <c r="H114" s="137" t="str">
        <f t="shared" ref="H114" si="86">IF(G114&lt;=0,"",IF(G114&lt;=2,"Muy Baja",IF(G114&lt;=24,"Baja",IF(G114&lt;=500,"Media",IF(G114&lt;=5000,"Alta","Muy Alta")))))</f>
        <v/>
      </c>
      <c r="I114" s="140" t="str">
        <f t="shared" ref="I114" si="87">IF(H114="","",IF(H114="Muy Baja",0.2,IF(H114="Baja",0.4,IF(H114="Media",0.6,IF(H114="Alta",0.8,IF(H114="Muy Alta",1,))))))</f>
        <v/>
      </c>
      <c r="J114" s="143"/>
      <c r="K114" s="140">
        <f>IF(NOT(ISERROR(MATCH(J114,'[1]Tabla Impacto'!$B$221:$B$223,0))),'[1]Tabla Impacto'!$F$223&amp;"Por favor no seleccionar los criterios de impacto(Afectación Económica o presupuestal y Pérdida Reputacional)",J114)</f>
        <v>0</v>
      </c>
      <c r="L114" s="137" t="str">
        <f>IF(OR(K114='[1]Tabla Impacto'!$C$11,K114='[1]Tabla Impacto'!$D$11),"Leve",IF(OR(K114='[1]Tabla Impacto'!$C$12,K114='[1]Tabla Impacto'!$D$12),"Menor",IF(OR(K114='[1]Tabla Impacto'!$C$13,K114='[1]Tabla Impacto'!$D$13),"Moderado",IF(OR(K114='[1]Tabla Impacto'!$C$14,K114='[1]Tabla Impacto'!$D$14),"Mayor",IF(OR(K114='[1]Tabla Impacto'!$C$15,K114='[1]Tabla Impacto'!$D$15),"Catastrófico","")))))</f>
        <v/>
      </c>
      <c r="M114" s="140" t="str">
        <f t="shared" ref="M114" si="88">IF(L114="","",IF(L114="Leve",0.2,IF(L114="Menor",0.4,IF(L114="Moderado",0.6,IF(L114="Mayor",0.8,IF(L114="Catastrófico",1,))))))</f>
        <v/>
      </c>
      <c r="N114" s="146" t="str">
        <f t="shared" ref="N114" si="89">IF(OR(AND(H114="Muy Baja",L114="Leve"),AND(H114="Muy Baja",L114="Menor"),AND(H114="Baja",L114="Leve")),"Bajo",IF(OR(AND(H114="Muy baja",L114="Moderado"),AND(H114="Baja",L114="Menor"),AND(H114="Baja",L114="Moderado"),AND(H114="Media",L114="Leve"),AND(H114="Media",L114="Menor"),AND(H114="Media",L114="Moderado"),AND(H114="Alta",L114="Leve"),AND(H114="Alta",L114="Menor")),"Moderado",IF(OR(AND(H114="Muy Baja",L114="Mayor"),AND(H114="Baja",L114="Mayor"),AND(H114="Media",L114="Mayor"),AND(H114="Alta",L114="Moderado"),AND(H114="Alta",L114="Mayor"),AND(H114="Muy Alta",L114="Leve"),AND(H114="Muy Alta",L114="Menor"),AND(H114="Muy Alta",L114="Moderado"),AND(H114="Muy Alta",L114="Mayor")),"Alto",IF(OR(AND(H114="Muy Baja",L114="Catastrófico"),AND(H114="Baja",L114="Catastrófico"),AND(H114="Media",L114="Catastrófico"),AND(H114="Alta",L114="Catastrófico"),AND(H114="Muy Alta",L114="Catastrófico")),"Extremo",""))))</f>
        <v/>
      </c>
      <c r="O114" s="106">
        <v>1</v>
      </c>
      <c r="P114" s="120"/>
      <c r="Q114" s="110" t="str">
        <f t="shared" si="58"/>
        <v/>
      </c>
      <c r="R114" s="108"/>
      <c r="S114" s="108"/>
      <c r="T114" s="111" t="str">
        <f t="shared" si="59"/>
        <v/>
      </c>
      <c r="U114" s="121"/>
      <c r="V114" s="121"/>
      <c r="W114" s="121"/>
      <c r="X114" s="112" t="str">
        <f t="shared" si="60"/>
        <v/>
      </c>
      <c r="Y114" s="113" t="str">
        <f t="shared" si="61"/>
        <v/>
      </c>
      <c r="Z114" s="111" t="str">
        <f t="shared" si="62"/>
        <v/>
      </c>
      <c r="AA114" s="113" t="str">
        <f t="shared" si="63"/>
        <v/>
      </c>
      <c r="AB114" s="111" t="str">
        <f t="shared" si="64"/>
        <v/>
      </c>
      <c r="AC114" s="114" t="str">
        <f t="shared" si="65"/>
        <v/>
      </c>
      <c r="AD114" s="128" t="b">
        <f t="shared" ref="AD114" si="90">IFERROR(IF(OR(AND(AC114="Bajo",AC115="Bajo",AC116="Bajo"),AND(AC114="Bajo",AC115="Bajo",AC116=""),AND(AC114="Bajo",AC115="",AC116="")),"Bajo",IF(OR(AND(AC114="Bajo",AC115="Bajo",AC116="Moderado"),AND(AC114="Bajo",AC115="Moderado",AC116="Moderado"),AND(AC114="Moderado",AC115="Moderado",AC116="Moderado"),AND(AC114="Bajo",AC115="Moderado",AC116=""),AND(AC114="Moderado",AC115="Bajo",AC116=""),AND(AC114="Moderado",AC115="Moderado",AC116=""),AND(AC114="Moderado",AC115="",AC116="")),"Moderado",IF(OR(AND(AC114="Bajo",AC115="Bajo",AC116="Alto"),AND(AC114="Bajo",AC115="Moderado",AC116="Alto"),AND(AC114="Moderado",AC115="Bajo",AC116="Alto"),AND(AC114="Moderado",AC115="Alto",AC116="Bajo"),AND(AC114="Moderado",AC115="Moderado",AC116="Alto"),AND(AC114="Alto",AC115="Bajo",AC116="Bajo"),AND(AC114="Alto",AC115="Moderado",AC116="Bajo"),AND(AC114="Alto",AC115="Moderado",AC116="Moderado"),AND(AC114="Alto",AC115="Alto",AC116="Bajo"),AND(AC114="Alto",AC115="Alto",AC116="Moderado"),AND(AC114="Alto",AC115="Alto",AC116="Alto"),AND(AC114="Alto",AC115="Bajo",AC116=""),AND(AC114="Alto",AC115="Moderado",AC116=""),AND(AC114="Alto",AC115="Alto",AC116=""),AND(AC114="Bajo",AC115="Alto",AC116=""),AND(AC114="Moderado",AC115="Alto",AC116=""),AND(AC114="Alto",AC115="",AC116="")),"Alto",IF(OR(AND(AC114="Bajo",AC115="Bajo",AC116="Extremo"),AND(AC114="Bajo",AC115="Moderado",AC116="Extremo"),AND(AC114="Bajo",AC115="Alto",AC116="Extremo"),AND(AC114="Moderado",AC115="Bajo",AC116="Extremo"),AND(AC114="Moderado",AC115="Alto",AC116="Extremo"),AND(AC114="Moderado",AC115="Moderado",AC116="Extremo"),AND(AC114="Alto",AC115="Bajo",AC116="Extremo"),AND(AC114="Alto",AC115="Moderado",AC116="Extremo"),AND(AC114="Alto",AC115="Alto",AC116="Extremo"),AND(AC114="Extremo",AC115="Bajo",AC116="Bajo"),AND(AC114="Extremo",AC115="Bajo",AC116="Moderado"),AND(AC114="Extremo",AC115="Bajo",AC116="Alto"),AND(AC114="Extremo",AC115="Moderado",AC116="Bajo"),AND(AC114="Extremo",AC115="Moderado",AC116="Moderado"),AND(AC114="Extremo",AC115="Moderado",AC116="Alto"),AND(AC114="Extremo",AC115="Alto",AC116="Bajo"),AND(AC114="Extremo",AC115="Alto",AC116="Moderado"),AND(AC114="Extremo",AC115="Alto",AC116="Alto"),AND(AC114="Extremo",AC115="Extremo",AC116="Bajo"),AND(AC114="Extremo",AC115="Extremo",AC116="Moderado"),AND(AC114="Extremo",AC115="Extremo",AC116="Alto"),AND(AC114="Extremo",AC115="Extremo",AC116="Extremo"),AND(AC114="Extremo",AC115="Bajo",AC116=""),AND(AC114="Extremo",AC115="Moderado",AC116=""),AND(AC114="Extremo",AC115="Alto",AC116=""),AND(AC114="Extremo",AC115="",AC116="")),"Extremo")))),"")</f>
        <v>0</v>
      </c>
      <c r="AE114" s="125"/>
      <c r="AF114" s="107"/>
      <c r="AG114" s="107"/>
      <c r="AH114" s="109"/>
      <c r="AI114" s="109"/>
      <c r="AJ114" s="107"/>
      <c r="AK114" s="106"/>
    </row>
    <row r="115" spans="1:37" x14ac:dyDescent="0.2">
      <c r="A115" s="135"/>
      <c r="B115" s="132"/>
      <c r="C115" s="132"/>
      <c r="D115" s="132"/>
      <c r="E115" s="132"/>
      <c r="F115" s="132"/>
      <c r="G115" s="135"/>
      <c r="H115" s="138"/>
      <c r="I115" s="141"/>
      <c r="J115" s="144"/>
      <c r="K115" s="141"/>
      <c r="L115" s="138"/>
      <c r="M115" s="141"/>
      <c r="N115" s="147"/>
      <c r="O115" s="106">
        <v>2</v>
      </c>
      <c r="P115" s="120"/>
      <c r="Q115" s="110" t="str">
        <f t="shared" si="58"/>
        <v/>
      </c>
      <c r="R115" s="108"/>
      <c r="S115" s="108"/>
      <c r="T115" s="111" t="str">
        <f t="shared" si="59"/>
        <v/>
      </c>
      <c r="U115" s="121"/>
      <c r="V115" s="121"/>
      <c r="W115" s="121"/>
      <c r="X115" s="112" t="str">
        <f t="shared" si="60"/>
        <v/>
      </c>
      <c r="Y115" s="113" t="str">
        <f t="shared" si="61"/>
        <v/>
      </c>
      <c r="Z115" s="111" t="str">
        <f t="shared" si="62"/>
        <v/>
      </c>
      <c r="AA115" s="113" t="str">
        <f t="shared" si="63"/>
        <v/>
      </c>
      <c r="AB115" s="111" t="str">
        <f t="shared" si="64"/>
        <v/>
      </c>
      <c r="AC115" s="114" t="str">
        <f t="shared" si="65"/>
        <v/>
      </c>
      <c r="AD115" s="129"/>
      <c r="AE115" s="126"/>
      <c r="AF115" s="107"/>
      <c r="AG115" s="107"/>
      <c r="AH115" s="109"/>
      <c r="AI115" s="109"/>
      <c r="AJ115" s="107"/>
      <c r="AK115" s="106"/>
    </row>
    <row r="116" spans="1:37" x14ac:dyDescent="0.2">
      <c r="A116" s="135"/>
      <c r="B116" s="132"/>
      <c r="C116" s="132"/>
      <c r="D116" s="132"/>
      <c r="E116" s="132"/>
      <c r="F116" s="132"/>
      <c r="G116" s="135"/>
      <c r="H116" s="138"/>
      <c r="I116" s="141"/>
      <c r="J116" s="144"/>
      <c r="K116" s="141"/>
      <c r="L116" s="138"/>
      <c r="M116" s="141"/>
      <c r="N116" s="147"/>
      <c r="O116" s="106">
        <v>3</v>
      </c>
      <c r="P116" s="120"/>
      <c r="Q116" s="110" t="str">
        <f t="shared" si="58"/>
        <v/>
      </c>
      <c r="R116" s="108"/>
      <c r="S116" s="108"/>
      <c r="T116" s="111" t="str">
        <f t="shared" si="59"/>
        <v/>
      </c>
      <c r="U116" s="121"/>
      <c r="V116" s="121"/>
      <c r="W116" s="121"/>
      <c r="X116" s="112" t="str">
        <f t="shared" si="60"/>
        <v/>
      </c>
      <c r="Y116" s="113" t="str">
        <f t="shared" si="61"/>
        <v/>
      </c>
      <c r="Z116" s="111" t="str">
        <f t="shared" si="62"/>
        <v/>
      </c>
      <c r="AA116" s="113" t="str">
        <f t="shared" si="63"/>
        <v/>
      </c>
      <c r="AB116" s="111" t="str">
        <f t="shared" si="64"/>
        <v/>
      </c>
      <c r="AC116" s="114" t="str">
        <f t="shared" si="65"/>
        <v/>
      </c>
      <c r="AD116" s="129"/>
      <c r="AE116" s="127"/>
      <c r="AF116" s="107"/>
      <c r="AG116" s="107"/>
      <c r="AH116" s="109"/>
      <c r="AI116" s="109"/>
      <c r="AJ116" s="107"/>
      <c r="AK116" s="106"/>
    </row>
    <row r="117" spans="1:37" x14ac:dyDescent="0.2">
      <c r="A117" s="135"/>
      <c r="B117" s="132"/>
      <c r="C117" s="132"/>
      <c r="D117" s="132"/>
      <c r="E117" s="132"/>
      <c r="F117" s="132"/>
      <c r="G117" s="135"/>
      <c r="H117" s="138"/>
      <c r="I117" s="141"/>
      <c r="J117" s="144"/>
      <c r="K117" s="141"/>
      <c r="L117" s="138"/>
      <c r="M117" s="141"/>
      <c r="N117" s="147"/>
      <c r="O117" s="106">
        <v>4</v>
      </c>
      <c r="P117" s="120"/>
      <c r="Q117" s="110" t="str">
        <f t="shared" si="58"/>
        <v/>
      </c>
      <c r="R117" s="108"/>
      <c r="S117" s="108"/>
      <c r="T117" s="111" t="str">
        <f t="shared" si="59"/>
        <v/>
      </c>
      <c r="U117" s="121"/>
      <c r="V117" s="121"/>
      <c r="W117" s="121"/>
      <c r="X117" s="112" t="str">
        <f t="shared" si="60"/>
        <v/>
      </c>
      <c r="Y117" s="113" t="str">
        <f t="shared" si="61"/>
        <v/>
      </c>
      <c r="Z117" s="111" t="str">
        <f t="shared" si="62"/>
        <v/>
      </c>
      <c r="AA117" s="113" t="str">
        <f t="shared" si="63"/>
        <v/>
      </c>
      <c r="AB117" s="111" t="str">
        <f t="shared" si="64"/>
        <v/>
      </c>
      <c r="AC117" s="114" t="str">
        <f t="shared" si="65"/>
        <v/>
      </c>
      <c r="AD117" s="129"/>
      <c r="AE117" s="108"/>
      <c r="AF117" s="107"/>
      <c r="AG117" s="107"/>
      <c r="AH117" s="109"/>
      <c r="AI117" s="109"/>
      <c r="AJ117" s="107"/>
      <c r="AK117" s="106"/>
    </row>
    <row r="118" spans="1:37" x14ac:dyDescent="0.2">
      <c r="A118" s="135"/>
      <c r="B118" s="132"/>
      <c r="C118" s="132"/>
      <c r="D118" s="132"/>
      <c r="E118" s="132"/>
      <c r="F118" s="132"/>
      <c r="G118" s="135"/>
      <c r="H118" s="138"/>
      <c r="I118" s="141"/>
      <c r="J118" s="144"/>
      <c r="K118" s="141"/>
      <c r="L118" s="138"/>
      <c r="M118" s="141"/>
      <c r="N118" s="147"/>
      <c r="O118" s="106">
        <v>5</v>
      </c>
      <c r="P118" s="120"/>
      <c r="Q118" s="110" t="str">
        <f t="shared" si="58"/>
        <v/>
      </c>
      <c r="R118" s="108"/>
      <c r="S118" s="108"/>
      <c r="T118" s="111" t="str">
        <f t="shared" si="59"/>
        <v/>
      </c>
      <c r="U118" s="121"/>
      <c r="V118" s="121"/>
      <c r="W118" s="121"/>
      <c r="X118" s="112" t="str">
        <f t="shared" si="60"/>
        <v/>
      </c>
      <c r="Y118" s="113" t="str">
        <f t="shared" si="61"/>
        <v/>
      </c>
      <c r="Z118" s="111" t="str">
        <f t="shared" si="62"/>
        <v/>
      </c>
      <c r="AA118" s="113" t="str">
        <f t="shared" si="63"/>
        <v/>
      </c>
      <c r="AB118" s="111" t="str">
        <f t="shared" si="64"/>
        <v/>
      </c>
      <c r="AC118" s="114" t="str">
        <f t="shared" si="65"/>
        <v/>
      </c>
      <c r="AD118" s="129"/>
      <c r="AE118" s="108"/>
      <c r="AF118" s="107"/>
      <c r="AG118" s="107"/>
      <c r="AH118" s="109"/>
      <c r="AI118" s="109"/>
      <c r="AJ118" s="107"/>
      <c r="AK118" s="106"/>
    </row>
    <row r="119" spans="1:37" x14ac:dyDescent="0.2">
      <c r="A119" s="135"/>
      <c r="B119" s="132"/>
      <c r="C119" s="132"/>
      <c r="D119" s="132"/>
      <c r="E119" s="132"/>
      <c r="F119" s="132"/>
      <c r="G119" s="135"/>
      <c r="H119" s="138"/>
      <c r="I119" s="141"/>
      <c r="J119" s="144"/>
      <c r="K119" s="141"/>
      <c r="L119" s="138"/>
      <c r="M119" s="141"/>
      <c r="N119" s="147"/>
      <c r="O119" s="106">
        <v>6</v>
      </c>
      <c r="P119" s="120"/>
      <c r="Q119" s="110" t="str">
        <f t="shared" si="58"/>
        <v/>
      </c>
      <c r="R119" s="108"/>
      <c r="S119" s="108"/>
      <c r="T119" s="111" t="str">
        <f t="shared" si="59"/>
        <v/>
      </c>
      <c r="U119" s="121"/>
      <c r="V119" s="121"/>
      <c r="W119" s="121"/>
      <c r="X119" s="112" t="str">
        <f t="shared" si="60"/>
        <v/>
      </c>
      <c r="Y119" s="113" t="str">
        <f t="shared" si="61"/>
        <v/>
      </c>
      <c r="Z119" s="111" t="str">
        <f t="shared" si="62"/>
        <v/>
      </c>
      <c r="AA119" s="113" t="str">
        <f t="shared" si="63"/>
        <v/>
      </c>
      <c r="AB119" s="111" t="str">
        <f t="shared" si="64"/>
        <v/>
      </c>
      <c r="AC119" s="114" t="str">
        <f t="shared" si="65"/>
        <v/>
      </c>
      <c r="AD119" s="129"/>
      <c r="AE119" s="108"/>
      <c r="AF119" s="107"/>
      <c r="AG119" s="107"/>
      <c r="AH119" s="109"/>
      <c r="AI119" s="109"/>
      <c r="AJ119" s="107"/>
      <c r="AK119" s="106"/>
    </row>
    <row r="120" spans="1:37" x14ac:dyDescent="0.2">
      <c r="A120" s="136"/>
      <c r="B120" s="133"/>
      <c r="C120" s="133"/>
      <c r="D120" s="133"/>
      <c r="E120" s="133"/>
      <c r="F120" s="133"/>
      <c r="G120" s="136"/>
      <c r="H120" s="139"/>
      <c r="I120" s="142"/>
      <c r="J120" s="145"/>
      <c r="K120" s="142"/>
      <c r="L120" s="139"/>
      <c r="M120" s="142"/>
      <c r="N120" s="148"/>
      <c r="O120" s="106">
        <v>7</v>
      </c>
      <c r="P120" s="120"/>
      <c r="Q120" s="110" t="str">
        <f t="shared" si="58"/>
        <v/>
      </c>
      <c r="R120" s="108"/>
      <c r="S120" s="108"/>
      <c r="T120" s="111" t="str">
        <f t="shared" si="59"/>
        <v/>
      </c>
      <c r="U120" s="121"/>
      <c r="V120" s="121"/>
      <c r="W120" s="121"/>
      <c r="X120" s="112" t="str">
        <f t="shared" si="60"/>
        <v/>
      </c>
      <c r="Y120" s="113" t="str">
        <f t="shared" si="61"/>
        <v/>
      </c>
      <c r="Z120" s="111" t="str">
        <f t="shared" si="62"/>
        <v/>
      </c>
      <c r="AA120" s="113" t="str">
        <f t="shared" si="63"/>
        <v/>
      </c>
      <c r="AB120" s="111" t="str">
        <f t="shared" si="64"/>
        <v/>
      </c>
      <c r="AC120" s="114" t="str">
        <f t="shared" si="65"/>
        <v/>
      </c>
      <c r="AD120" s="130"/>
      <c r="AE120" s="108"/>
      <c r="AF120" s="107"/>
      <c r="AG120" s="107"/>
      <c r="AH120" s="109"/>
      <c r="AI120" s="109"/>
      <c r="AJ120" s="107"/>
      <c r="AK120" s="106"/>
    </row>
    <row r="121" spans="1:37" ht="16.5" customHeight="1" x14ac:dyDescent="0.2">
      <c r="A121" s="134">
        <v>16</v>
      </c>
      <c r="B121" s="131"/>
      <c r="C121" s="131"/>
      <c r="D121" s="131"/>
      <c r="E121" s="131"/>
      <c r="F121" s="131"/>
      <c r="G121" s="134"/>
      <c r="H121" s="137" t="str">
        <f t="shared" ref="H121" si="91">IF(G121&lt;=0,"",IF(G121&lt;=2,"Muy Baja",IF(G121&lt;=24,"Baja",IF(G121&lt;=500,"Media",IF(G121&lt;=5000,"Alta","Muy Alta")))))</f>
        <v/>
      </c>
      <c r="I121" s="140" t="str">
        <f t="shared" ref="I121" si="92">IF(H121="","",IF(H121="Muy Baja",0.2,IF(H121="Baja",0.4,IF(H121="Media",0.6,IF(H121="Alta",0.8,IF(H121="Muy Alta",1,))))))</f>
        <v/>
      </c>
      <c r="J121" s="143"/>
      <c r="K121" s="140">
        <f>IF(NOT(ISERROR(MATCH(J121,'[1]Tabla Impacto'!$B$221:$B$223,0))),'[1]Tabla Impacto'!$F$223&amp;"Por favor no seleccionar los criterios de impacto(Afectación Económica o presupuestal y Pérdida Reputacional)",J121)</f>
        <v>0</v>
      </c>
      <c r="L121" s="137" t="str">
        <f>IF(OR(K121='[1]Tabla Impacto'!$C$11,K121='[1]Tabla Impacto'!$D$11),"Leve",IF(OR(K121='[1]Tabla Impacto'!$C$12,K121='[1]Tabla Impacto'!$D$12),"Menor",IF(OR(K121='[1]Tabla Impacto'!$C$13,K121='[1]Tabla Impacto'!$D$13),"Moderado",IF(OR(K121='[1]Tabla Impacto'!$C$14,K121='[1]Tabla Impacto'!$D$14),"Mayor",IF(OR(K121='[1]Tabla Impacto'!$C$15,K121='[1]Tabla Impacto'!$D$15),"Catastrófico","")))))</f>
        <v/>
      </c>
      <c r="M121" s="140" t="str">
        <f t="shared" ref="M121" si="93">IF(L121="","",IF(L121="Leve",0.2,IF(L121="Menor",0.4,IF(L121="Moderado",0.6,IF(L121="Mayor",0.8,IF(L121="Catastrófico",1,))))))</f>
        <v/>
      </c>
      <c r="N121" s="146" t="str">
        <f t="shared" ref="N121" si="94">IF(OR(AND(H121="Muy Baja",L121="Leve"),AND(H121="Muy Baja",L121="Menor"),AND(H121="Baja",L121="Leve")),"Bajo",IF(OR(AND(H121="Muy baja",L121="Moderado"),AND(H121="Baja",L121="Menor"),AND(H121="Baja",L121="Moderado"),AND(H121="Media",L121="Leve"),AND(H121="Media",L121="Menor"),AND(H121="Media",L121="Moderado"),AND(H121="Alta",L121="Leve"),AND(H121="Alta",L121="Menor")),"Moderado",IF(OR(AND(H121="Muy Baja",L121="Mayor"),AND(H121="Baja",L121="Mayor"),AND(H121="Media",L121="Mayor"),AND(H121="Alta",L121="Moderado"),AND(H121="Alta",L121="Mayor"),AND(H121="Muy Alta",L121="Leve"),AND(H121="Muy Alta",L121="Menor"),AND(H121="Muy Alta",L121="Moderado"),AND(H121="Muy Alta",L121="Mayor")),"Alto",IF(OR(AND(H121="Muy Baja",L121="Catastrófico"),AND(H121="Baja",L121="Catastrófico"),AND(H121="Media",L121="Catastrófico"),AND(H121="Alta",L121="Catastrófico"),AND(H121="Muy Alta",L121="Catastrófico")),"Extremo",""))))</f>
        <v/>
      </c>
      <c r="O121" s="106">
        <v>1</v>
      </c>
      <c r="P121" s="120"/>
      <c r="Q121" s="110" t="str">
        <f t="shared" si="58"/>
        <v/>
      </c>
      <c r="R121" s="108"/>
      <c r="S121" s="108"/>
      <c r="T121" s="111" t="str">
        <f t="shared" si="59"/>
        <v/>
      </c>
      <c r="U121" s="121"/>
      <c r="V121" s="121"/>
      <c r="W121" s="121"/>
      <c r="X121" s="112" t="str">
        <f t="shared" si="60"/>
        <v/>
      </c>
      <c r="Y121" s="113" t="str">
        <f t="shared" si="61"/>
        <v/>
      </c>
      <c r="Z121" s="111" t="str">
        <f t="shared" si="62"/>
        <v/>
      </c>
      <c r="AA121" s="113" t="str">
        <f t="shared" si="63"/>
        <v/>
      </c>
      <c r="AB121" s="111" t="str">
        <f t="shared" si="64"/>
        <v/>
      </c>
      <c r="AC121" s="114" t="str">
        <f t="shared" si="65"/>
        <v/>
      </c>
      <c r="AD121" s="128" t="b">
        <f t="shared" ref="AD121" si="95">IFERROR(IF(OR(AND(AC121="Bajo",AC122="Bajo",AC123="Bajo"),AND(AC121="Bajo",AC122="Bajo",AC123=""),AND(AC121="Bajo",AC122="",AC123="")),"Bajo",IF(OR(AND(AC121="Bajo",AC122="Bajo",AC123="Moderado"),AND(AC121="Bajo",AC122="Moderado",AC123="Moderado"),AND(AC121="Moderado",AC122="Moderado",AC123="Moderado"),AND(AC121="Bajo",AC122="Moderado",AC123=""),AND(AC121="Moderado",AC122="Bajo",AC123=""),AND(AC121="Moderado",AC122="Moderado",AC123=""),AND(AC121="Moderado",AC122="",AC123="")),"Moderado",IF(OR(AND(AC121="Bajo",AC122="Bajo",AC123="Alto"),AND(AC121="Bajo",AC122="Moderado",AC123="Alto"),AND(AC121="Moderado",AC122="Bajo",AC123="Alto"),AND(AC121="Moderado",AC122="Alto",AC123="Bajo"),AND(AC121="Moderado",AC122="Moderado",AC123="Alto"),AND(AC121="Alto",AC122="Bajo",AC123="Bajo"),AND(AC121="Alto",AC122="Moderado",AC123="Bajo"),AND(AC121="Alto",AC122="Moderado",AC123="Moderado"),AND(AC121="Alto",AC122="Alto",AC123="Bajo"),AND(AC121="Alto",AC122="Alto",AC123="Moderado"),AND(AC121="Alto",AC122="Alto",AC123="Alto"),AND(AC121="Alto",AC122="Bajo",AC123=""),AND(AC121="Alto",AC122="Moderado",AC123=""),AND(AC121="Alto",AC122="Alto",AC123=""),AND(AC121="Bajo",AC122="Alto",AC123=""),AND(AC121="Moderado",AC122="Alto",AC123=""),AND(AC121="Alto",AC122="",AC123="")),"Alto",IF(OR(AND(AC121="Bajo",AC122="Bajo",AC123="Extremo"),AND(AC121="Bajo",AC122="Moderado",AC123="Extremo"),AND(AC121="Bajo",AC122="Alto",AC123="Extremo"),AND(AC121="Moderado",AC122="Bajo",AC123="Extremo"),AND(AC121="Moderado",AC122="Alto",AC123="Extremo"),AND(AC121="Moderado",AC122="Moderado",AC123="Extremo"),AND(AC121="Alto",AC122="Bajo",AC123="Extremo"),AND(AC121="Alto",AC122="Moderado",AC123="Extremo"),AND(AC121="Alto",AC122="Alto",AC123="Extremo"),AND(AC121="Extremo",AC122="Bajo",AC123="Bajo"),AND(AC121="Extremo",AC122="Bajo",AC123="Moderado"),AND(AC121="Extremo",AC122="Bajo",AC123="Alto"),AND(AC121="Extremo",AC122="Moderado",AC123="Bajo"),AND(AC121="Extremo",AC122="Moderado",AC123="Moderado"),AND(AC121="Extremo",AC122="Moderado",AC123="Alto"),AND(AC121="Extremo",AC122="Alto",AC123="Bajo"),AND(AC121="Extremo",AC122="Alto",AC123="Moderado"),AND(AC121="Extremo",AC122="Alto",AC123="Alto"),AND(AC121="Extremo",AC122="Extremo",AC123="Bajo"),AND(AC121="Extremo",AC122="Extremo",AC123="Moderado"),AND(AC121="Extremo",AC122="Extremo",AC123="Alto"),AND(AC121="Extremo",AC122="Extremo",AC123="Extremo"),AND(AC121="Extremo",AC122="Bajo",AC123=""),AND(AC121="Extremo",AC122="Moderado",AC123=""),AND(AC121="Extremo",AC122="Alto",AC123=""),AND(AC121="Extremo",AC122="",AC123="")),"Extremo")))),"")</f>
        <v>0</v>
      </c>
      <c r="AE121" s="125"/>
      <c r="AF121" s="107"/>
      <c r="AG121" s="107"/>
      <c r="AH121" s="109"/>
      <c r="AI121" s="109"/>
      <c r="AJ121" s="107"/>
      <c r="AK121" s="106"/>
    </row>
    <row r="122" spans="1:37" x14ac:dyDescent="0.2">
      <c r="A122" s="135"/>
      <c r="B122" s="132"/>
      <c r="C122" s="132"/>
      <c r="D122" s="132"/>
      <c r="E122" s="132"/>
      <c r="F122" s="132"/>
      <c r="G122" s="135"/>
      <c r="H122" s="138"/>
      <c r="I122" s="141"/>
      <c r="J122" s="144"/>
      <c r="K122" s="141"/>
      <c r="L122" s="138"/>
      <c r="M122" s="141"/>
      <c r="N122" s="147"/>
      <c r="O122" s="106">
        <v>2</v>
      </c>
      <c r="P122" s="120"/>
      <c r="Q122" s="110" t="str">
        <f t="shared" si="58"/>
        <v/>
      </c>
      <c r="R122" s="108"/>
      <c r="S122" s="108"/>
      <c r="T122" s="111" t="str">
        <f t="shared" si="59"/>
        <v/>
      </c>
      <c r="U122" s="121"/>
      <c r="V122" s="121"/>
      <c r="W122" s="121"/>
      <c r="X122" s="112" t="str">
        <f t="shared" si="60"/>
        <v/>
      </c>
      <c r="Y122" s="113" t="str">
        <f t="shared" si="61"/>
        <v/>
      </c>
      <c r="Z122" s="111" t="str">
        <f t="shared" si="62"/>
        <v/>
      </c>
      <c r="AA122" s="113" t="str">
        <f t="shared" si="63"/>
        <v/>
      </c>
      <c r="AB122" s="111" t="str">
        <f t="shared" si="64"/>
        <v/>
      </c>
      <c r="AC122" s="114" t="str">
        <f t="shared" si="65"/>
        <v/>
      </c>
      <c r="AD122" s="129"/>
      <c r="AE122" s="126"/>
      <c r="AF122" s="107"/>
      <c r="AG122" s="107"/>
      <c r="AH122" s="109"/>
      <c r="AI122" s="109"/>
      <c r="AJ122" s="107"/>
      <c r="AK122" s="106"/>
    </row>
    <row r="123" spans="1:37" x14ac:dyDescent="0.2">
      <c r="A123" s="135"/>
      <c r="B123" s="132"/>
      <c r="C123" s="132"/>
      <c r="D123" s="132"/>
      <c r="E123" s="132"/>
      <c r="F123" s="132"/>
      <c r="G123" s="135"/>
      <c r="H123" s="138"/>
      <c r="I123" s="141"/>
      <c r="J123" s="144"/>
      <c r="K123" s="141"/>
      <c r="L123" s="138"/>
      <c r="M123" s="141"/>
      <c r="N123" s="147"/>
      <c r="O123" s="106">
        <v>3</v>
      </c>
      <c r="P123" s="120"/>
      <c r="Q123" s="110" t="str">
        <f t="shared" si="58"/>
        <v/>
      </c>
      <c r="R123" s="108"/>
      <c r="S123" s="108"/>
      <c r="T123" s="111" t="str">
        <f t="shared" si="59"/>
        <v/>
      </c>
      <c r="U123" s="121"/>
      <c r="V123" s="121"/>
      <c r="W123" s="121"/>
      <c r="X123" s="112" t="str">
        <f t="shared" si="60"/>
        <v/>
      </c>
      <c r="Y123" s="113" t="str">
        <f t="shared" si="61"/>
        <v/>
      </c>
      <c r="Z123" s="111" t="str">
        <f t="shared" si="62"/>
        <v/>
      </c>
      <c r="AA123" s="113" t="str">
        <f t="shared" si="63"/>
        <v/>
      </c>
      <c r="AB123" s="111" t="str">
        <f t="shared" si="64"/>
        <v/>
      </c>
      <c r="AC123" s="114" t="str">
        <f t="shared" si="65"/>
        <v/>
      </c>
      <c r="AD123" s="129"/>
      <c r="AE123" s="127"/>
      <c r="AF123" s="107"/>
      <c r="AG123" s="107"/>
      <c r="AH123" s="109"/>
      <c r="AI123" s="109"/>
      <c r="AJ123" s="107"/>
      <c r="AK123" s="106"/>
    </row>
    <row r="124" spans="1:37" x14ac:dyDescent="0.2">
      <c r="A124" s="135"/>
      <c r="B124" s="132"/>
      <c r="C124" s="132"/>
      <c r="D124" s="132"/>
      <c r="E124" s="132"/>
      <c r="F124" s="132"/>
      <c r="G124" s="135"/>
      <c r="H124" s="138"/>
      <c r="I124" s="141"/>
      <c r="J124" s="144"/>
      <c r="K124" s="141"/>
      <c r="L124" s="138"/>
      <c r="M124" s="141"/>
      <c r="N124" s="147"/>
      <c r="O124" s="106">
        <v>4</v>
      </c>
      <c r="P124" s="120"/>
      <c r="Q124" s="110" t="str">
        <f t="shared" si="58"/>
        <v/>
      </c>
      <c r="R124" s="108"/>
      <c r="S124" s="108"/>
      <c r="T124" s="111" t="str">
        <f t="shared" si="59"/>
        <v/>
      </c>
      <c r="U124" s="121"/>
      <c r="V124" s="121"/>
      <c r="W124" s="121"/>
      <c r="X124" s="112" t="str">
        <f t="shared" si="60"/>
        <v/>
      </c>
      <c r="Y124" s="113" t="str">
        <f t="shared" si="61"/>
        <v/>
      </c>
      <c r="Z124" s="111" t="str">
        <f t="shared" si="62"/>
        <v/>
      </c>
      <c r="AA124" s="113" t="str">
        <f t="shared" si="63"/>
        <v/>
      </c>
      <c r="AB124" s="111" t="str">
        <f t="shared" si="64"/>
        <v/>
      </c>
      <c r="AC124" s="114" t="str">
        <f t="shared" si="65"/>
        <v/>
      </c>
      <c r="AD124" s="129"/>
      <c r="AE124" s="108"/>
      <c r="AF124" s="107"/>
      <c r="AG124" s="107"/>
      <c r="AH124" s="109"/>
      <c r="AI124" s="109"/>
      <c r="AJ124" s="107"/>
      <c r="AK124" s="106"/>
    </row>
    <row r="125" spans="1:37" x14ac:dyDescent="0.2">
      <c r="A125" s="135"/>
      <c r="B125" s="132"/>
      <c r="C125" s="132"/>
      <c r="D125" s="132"/>
      <c r="E125" s="132"/>
      <c r="F125" s="132"/>
      <c r="G125" s="135"/>
      <c r="H125" s="138"/>
      <c r="I125" s="141"/>
      <c r="J125" s="144"/>
      <c r="K125" s="141"/>
      <c r="L125" s="138"/>
      <c r="M125" s="141"/>
      <c r="N125" s="147"/>
      <c r="O125" s="106">
        <v>5</v>
      </c>
      <c r="P125" s="120"/>
      <c r="Q125" s="110" t="str">
        <f t="shared" si="58"/>
        <v/>
      </c>
      <c r="R125" s="108"/>
      <c r="S125" s="108"/>
      <c r="T125" s="111" t="str">
        <f t="shared" si="59"/>
        <v/>
      </c>
      <c r="U125" s="121"/>
      <c r="V125" s="121"/>
      <c r="W125" s="121"/>
      <c r="X125" s="112" t="str">
        <f t="shared" si="60"/>
        <v/>
      </c>
      <c r="Y125" s="113" t="str">
        <f t="shared" si="61"/>
        <v/>
      </c>
      <c r="Z125" s="111" t="str">
        <f t="shared" si="62"/>
        <v/>
      </c>
      <c r="AA125" s="113" t="str">
        <f t="shared" si="63"/>
        <v/>
      </c>
      <c r="AB125" s="111" t="str">
        <f t="shared" si="64"/>
        <v/>
      </c>
      <c r="AC125" s="114" t="str">
        <f t="shared" si="65"/>
        <v/>
      </c>
      <c r="AD125" s="129"/>
      <c r="AE125" s="108"/>
      <c r="AF125" s="107"/>
      <c r="AG125" s="107"/>
      <c r="AH125" s="109"/>
      <c r="AI125" s="109"/>
      <c r="AJ125" s="107"/>
      <c r="AK125" s="106"/>
    </row>
    <row r="126" spans="1:37" x14ac:dyDescent="0.2">
      <c r="A126" s="135"/>
      <c r="B126" s="132"/>
      <c r="C126" s="132"/>
      <c r="D126" s="132"/>
      <c r="E126" s="132"/>
      <c r="F126" s="132"/>
      <c r="G126" s="135"/>
      <c r="H126" s="138"/>
      <c r="I126" s="141"/>
      <c r="J126" s="144"/>
      <c r="K126" s="141"/>
      <c r="L126" s="138"/>
      <c r="M126" s="141"/>
      <c r="N126" s="147"/>
      <c r="O126" s="106">
        <v>6</v>
      </c>
      <c r="P126" s="120"/>
      <c r="Q126" s="110" t="str">
        <f t="shared" si="58"/>
        <v/>
      </c>
      <c r="R126" s="108"/>
      <c r="S126" s="108"/>
      <c r="T126" s="111" t="str">
        <f t="shared" si="59"/>
        <v/>
      </c>
      <c r="U126" s="121"/>
      <c r="V126" s="121"/>
      <c r="W126" s="121"/>
      <c r="X126" s="112" t="str">
        <f t="shared" si="60"/>
        <v/>
      </c>
      <c r="Y126" s="113" t="str">
        <f t="shared" si="61"/>
        <v/>
      </c>
      <c r="Z126" s="111" t="str">
        <f t="shared" si="62"/>
        <v/>
      </c>
      <c r="AA126" s="113" t="str">
        <f t="shared" si="63"/>
        <v/>
      </c>
      <c r="AB126" s="111" t="str">
        <f t="shared" si="64"/>
        <v/>
      </c>
      <c r="AC126" s="114" t="str">
        <f t="shared" si="65"/>
        <v/>
      </c>
      <c r="AD126" s="129"/>
      <c r="AE126" s="108"/>
      <c r="AF126" s="107"/>
      <c r="AG126" s="107"/>
      <c r="AH126" s="109"/>
      <c r="AI126" s="109"/>
      <c r="AJ126" s="107"/>
      <c r="AK126" s="106"/>
    </row>
    <row r="127" spans="1:37" x14ac:dyDescent="0.2">
      <c r="A127" s="136"/>
      <c r="B127" s="133"/>
      <c r="C127" s="133"/>
      <c r="D127" s="133"/>
      <c r="E127" s="133"/>
      <c r="F127" s="133"/>
      <c r="G127" s="136"/>
      <c r="H127" s="139"/>
      <c r="I127" s="142"/>
      <c r="J127" s="145"/>
      <c r="K127" s="142"/>
      <c r="L127" s="139"/>
      <c r="M127" s="142"/>
      <c r="N127" s="148"/>
      <c r="O127" s="106">
        <v>7</v>
      </c>
      <c r="P127" s="120"/>
      <c r="Q127" s="110" t="str">
        <f t="shared" si="58"/>
        <v/>
      </c>
      <c r="R127" s="108"/>
      <c r="S127" s="108"/>
      <c r="T127" s="111" t="str">
        <f t="shared" si="59"/>
        <v/>
      </c>
      <c r="U127" s="121"/>
      <c r="V127" s="121"/>
      <c r="W127" s="121"/>
      <c r="X127" s="112" t="str">
        <f t="shared" si="60"/>
        <v/>
      </c>
      <c r="Y127" s="113" t="str">
        <f t="shared" si="61"/>
        <v/>
      </c>
      <c r="Z127" s="111" t="str">
        <f t="shared" si="62"/>
        <v/>
      </c>
      <c r="AA127" s="113" t="str">
        <f t="shared" si="63"/>
        <v/>
      </c>
      <c r="AB127" s="111" t="str">
        <f t="shared" si="64"/>
        <v/>
      </c>
      <c r="AC127" s="114" t="str">
        <f t="shared" si="65"/>
        <v/>
      </c>
      <c r="AD127" s="130"/>
      <c r="AE127" s="108"/>
      <c r="AF127" s="107"/>
      <c r="AG127" s="107"/>
      <c r="AH127" s="109"/>
      <c r="AI127" s="109"/>
      <c r="AJ127" s="107"/>
      <c r="AK127" s="106"/>
    </row>
    <row r="128" spans="1:37" s="117" customFormat="1" x14ac:dyDescent="0.2">
      <c r="A128" s="110"/>
      <c r="B128" s="159" t="s">
        <v>216</v>
      </c>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row>
    <row r="129" spans="2:30" x14ac:dyDescent="0.3">
      <c r="B129" s="119" t="s">
        <v>92</v>
      </c>
      <c r="AD129" s="116"/>
    </row>
    <row r="130" spans="2:30" x14ac:dyDescent="0.3">
      <c r="AD130" s="116"/>
    </row>
  </sheetData>
  <sheetProtection algorithmName="SHA-512" hashValue="Jl5cT7znXI66K/ZsPUvNEv3ceQRlpUk93NE+4fZZzX5cKZYtO2Le0k+q9QAQNxadhy52ko4zJDVPL4CYh34MUw==" saltValue="1pmm7eQyLG2baoliv8TCRA==" spinCount="100000" sheet="1" formatCells="0" formatColumns="0" formatRows="0" insertRows="0" insertHyperlinks="0" deleteRows="0" selectLockedCells="1" sort="0" autoFilter="0"/>
  <mergeCells count="316">
    <mergeCell ref="AE16:AE18"/>
    <mergeCell ref="AD16:AD22"/>
    <mergeCell ref="A7:AK8"/>
    <mergeCell ref="A10:B10"/>
    <mergeCell ref="C10:N10"/>
    <mergeCell ref="O10:Q10"/>
    <mergeCell ref="A11:B11"/>
    <mergeCell ref="A1:D5"/>
    <mergeCell ref="E1:AK1"/>
    <mergeCell ref="E2:AK2"/>
    <mergeCell ref="E3:AK3"/>
    <mergeCell ref="E4:M4"/>
    <mergeCell ref="E5:M5"/>
    <mergeCell ref="N4:X4"/>
    <mergeCell ref="N5:X5"/>
    <mergeCell ref="Y4:AG4"/>
    <mergeCell ref="Y5:AG5"/>
    <mergeCell ref="AH4:AK4"/>
    <mergeCell ref="AH5:AK5"/>
    <mergeCell ref="AJ14:AJ15"/>
    <mergeCell ref="AK14:AK15"/>
    <mergeCell ref="A12:B12"/>
    <mergeCell ref="A13:G13"/>
    <mergeCell ref="H13:N13"/>
    <mergeCell ref="AF13:AK13"/>
    <mergeCell ref="A14:A15"/>
    <mergeCell ref="P14:P15"/>
    <mergeCell ref="Q14:Q15"/>
    <mergeCell ref="R14:W14"/>
    <mergeCell ref="X14:X15"/>
    <mergeCell ref="Y14:Y15"/>
    <mergeCell ref="F14:F15"/>
    <mergeCell ref="G14:G15"/>
    <mergeCell ref="H14:H15"/>
    <mergeCell ref="I14:I15"/>
    <mergeCell ref="AF14:AF15"/>
    <mergeCell ref="AG14:AG15"/>
    <mergeCell ref="AH14:AH15"/>
    <mergeCell ref="AI14:AI15"/>
    <mergeCell ref="B128:AK128"/>
    <mergeCell ref="AE72:AE74"/>
    <mergeCell ref="AE58:AE60"/>
    <mergeCell ref="AE65:AE67"/>
    <mergeCell ref="J44:J50"/>
    <mergeCell ref="K44:K50"/>
    <mergeCell ref="B51:B57"/>
    <mergeCell ref="C51:C57"/>
    <mergeCell ref="D51:D57"/>
    <mergeCell ref="E51:E57"/>
    <mergeCell ref="F51:F57"/>
    <mergeCell ref="G51:G57"/>
    <mergeCell ref="H51:H57"/>
    <mergeCell ref="AE100:AE102"/>
    <mergeCell ref="AE107:AE109"/>
    <mergeCell ref="J100:J106"/>
    <mergeCell ref="AE86:AE88"/>
    <mergeCell ref="AE93:AE95"/>
    <mergeCell ref="AE44:AE46"/>
    <mergeCell ref="AE51:AE53"/>
    <mergeCell ref="J121:J127"/>
    <mergeCell ref="K121:K127"/>
    <mergeCell ref="L121:L127"/>
    <mergeCell ref="M121:M127"/>
    <mergeCell ref="AD10:AD12"/>
    <mergeCell ref="AD14:AD15"/>
    <mergeCell ref="B14:B15"/>
    <mergeCell ref="C14:C15"/>
    <mergeCell ref="J14:J15"/>
    <mergeCell ref="K14:K15"/>
    <mergeCell ref="L14:L15"/>
    <mergeCell ref="AC14:AC15"/>
    <mergeCell ref="AE14:AE15"/>
    <mergeCell ref="D14:D15"/>
    <mergeCell ref="E14:E15"/>
    <mergeCell ref="M14:M15"/>
    <mergeCell ref="N14:N15"/>
    <mergeCell ref="O14:O15"/>
    <mergeCell ref="Z14:Z15"/>
    <mergeCell ref="AA14:AA15"/>
    <mergeCell ref="AB14:AB15"/>
    <mergeCell ref="C11:N11"/>
    <mergeCell ref="C12:N12"/>
    <mergeCell ref="O13:W13"/>
    <mergeCell ref="X13:AE13"/>
    <mergeCell ref="N121:N127"/>
    <mergeCell ref="J93:J99"/>
    <mergeCell ref="K93:K99"/>
    <mergeCell ref="L93:L99"/>
    <mergeCell ref="M93:M99"/>
    <mergeCell ref="N93:N99"/>
    <mergeCell ref="K100:K106"/>
    <mergeCell ref="L100:L106"/>
    <mergeCell ref="M100:M106"/>
    <mergeCell ref="N100:N106"/>
    <mergeCell ref="J107:J113"/>
    <mergeCell ref="K107:K113"/>
    <mergeCell ref="L107:L113"/>
    <mergeCell ref="M107:M113"/>
    <mergeCell ref="N107:N113"/>
    <mergeCell ref="B121:B127"/>
    <mergeCell ref="C121:C127"/>
    <mergeCell ref="AE114:AE116"/>
    <mergeCell ref="J114:J120"/>
    <mergeCell ref="K114:K120"/>
    <mergeCell ref="L114:L120"/>
    <mergeCell ref="M114:M120"/>
    <mergeCell ref="N114:N120"/>
    <mergeCell ref="J16:J22"/>
    <mergeCell ref="K16:K22"/>
    <mergeCell ref="L16:L22"/>
    <mergeCell ref="M16:M22"/>
    <mergeCell ref="N16:N22"/>
    <mergeCell ref="N23:N29"/>
    <mergeCell ref="J30:J36"/>
    <mergeCell ref="K30:K36"/>
    <mergeCell ref="L30:L36"/>
    <mergeCell ref="M30:M36"/>
    <mergeCell ref="N30:N36"/>
    <mergeCell ref="J37:J43"/>
    <mergeCell ref="K37:K43"/>
    <mergeCell ref="L37:L43"/>
    <mergeCell ref="M37:M43"/>
    <mergeCell ref="N37:N43"/>
    <mergeCell ref="A16:A22"/>
    <mergeCell ref="B16:B22"/>
    <mergeCell ref="C16:C22"/>
    <mergeCell ref="D16:D22"/>
    <mergeCell ref="E16:E22"/>
    <mergeCell ref="F16:F22"/>
    <mergeCell ref="G16:G22"/>
    <mergeCell ref="H16:H22"/>
    <mergeCell ref="I16:I22"/>
    <mergeCell ref="J23:J29"/>
    <mergeCell ref="K23:K29"/>
    <mergeCell ref="L23:L29"/>
    <mergeCell ref="M23:M29"/>
    <mergeCell ref="L44:L50"/>
    <mergeCell ref="M44:M50"/>
    <mergeCell ref="N44:N50"/>
    <mergeCell ref="J51:J57"/>
    <mergeCell ref="K51:K57"/>
    <mergeCell ref="L51:L57"/>
    <mergeCell ref="M51:M57"/>
    <mergeCell ref="N51:N57"/>
    <mergeCell ref="J58:J64"/>
    <mergeCell ref="K58:K64"/>
    <mergeCell ref="L58:L64"/>
    <mergeCell ref="M58:M64"/>
    <mergeCell ref="N58:N64"/>
    <mergeCell ref="J65:J71"/>
    <mergeCell ref="K65:K71"/>
    <mergeCell ref="L65:L71"/>
    <mergeCell ref="M65:M71"/>
    <mergeCell ref="N65:N71"/>
    <mergeCell ref="J72:J78"/>
    <mergeCell ref="K72:K78"/>
    <mergeCell ref="L72:L78"/>
    <mergeCell ref="M72:M78"/>
    <mergeCell ref="N72:N78"/>
    <mergeCell ref="K86:K92"/>
    <mergeCell ref="L86:L92"/>
    <mergeCell ref="M86:M92"/>
    <mergeCell ref="N86:N92"/>
    <mergeCell ref="J86:J92"/>
    <mergeCell ref="J79:J85"/>
    <mergeCell ref="K79:K85"/>
    <mergeCell ref="L79:L85"/>
    <mergeCell ref="M79:M85"/>
    <mergeCell ref="N79:N85"/>
    <mergeCell ref="B23:B29"/>
    <mergeCell ref="C23:C29"/>
    <mergeCell ref="D23:D29"/>
    <mergeCell ref="E23:E29"/>
    <mergeCell ref="F23:F29"/>
    <mergeCell ref="G23:G29"/>
    <mergeCell ref="H23:H29"/>
    <mergeCell ref="I23:I29"/>
    <mergeCell ref="B30:B36"/>
    <mergeCell ref="C30:C36"/>
    <mergeCell ref="D30:D36"/>
    <mergeCell ref="E30:E36"/>
    <mergeCell ref="F30:F36"/>
    <mergeCell ref="G30:G36"/>
    <mergeCell ref="H30:H36"/>
    <mergeCell ref="I30:I36"/>
    <mergeCell ref="D37:D43"/>
    <mergeCell ref="E37:E43"/>
    <mergeCell ref="F37:F43"/>
    <mergeCell ref="G37:G43"/>
    <mergeCell ref="H37:H43"/>
    <mergeCell ref="I37:I43"/>
    <mergeCell ref="B44:B50"/>
    <mergeCell ref="C44:C50"/>
    <mergeCell ref="D44:D50"/>
    <mergeCell ref="E44:E50"/>
    <mergeCell ref="F44:F50"/>
    <mergeCell ref="G44:G50"/>
    <mergeCell ref="H44:H50"/>
    <mergeCell ref="I44:I50"/>
    <mergeCell ref="B37:B43"/>
    <mergeCell ref="C37:C43"/>
    <mergeCell ref="I51:I57"/>
    <mergeCell ref="B58:B64"/>
    <mergeCell ref="C58:C64"/>
    <mergeCell ref="D58:D64"/>
    <mergeCell ref="E58:E64"/>
    <mergeCell ref="F58:F64"/>
    <mergeCell ref="G58:G64"/>
    <mergeCell ref="H58:H64"/>
    <mergeCell ref="I58:I64"/>
    <mergeCell ref="B65:B71"/>
    <mergeCell ref="C65:C71"/>
    <mergeCell ref="D65:D71"/>
    <mergeCell ref="E65:E71"/>
    <mergeCell ref="F65:F71"/>
    <mergeCell ref="G65:G71"/>
    <mergeCell ref="H65:H71"/>
    <mergeCell ref="I65:I71"/>
    <mergeCell ref="B72:B78"/>
    <mergeCell ref="C72:C78"/>
    <mergeCell ref="D72:D78"/>
    <mergeCell ref="E72:E78"/>
    <mergeCell ref="F72:F78"/>
    <mergeCell ref="G72:G78"/>
    <mergeCell ref="H72:H78"/>
    <mergeCell ref="I72:I78"/>
    <mergeCell ref="B79:B85"/>
    <mergeCell ref="C79:C85"/>
    <mergeCell ref="D79:D85"/>
    <mergeCell ref="E79:E85"/>
    <mergeCell ref="F79:F85"/>
    <mergeCell ref="G79:G85"/>
    <mergeCell ref="H79:H85"/>
    <mergeCell ref="I79:I85"/>
    <mergeCell ref="B86:B92"/>
    <mergeCell ref="C86:C92"/>
    <mergeCell ref="D86:D92"/>
    <mergeCell ref="E86:E92"/>
    <mergeCell ref="F86:F92"/>
    <mergeCell ref="G86:G92"/>
    <mergeCell ref="H86:H92"/>
    <mergeCell ref="I86:I92"/>
    <mergeCell ref="B93:B99"/>
    <mergeCell ref="C93:C99"/>
    <mergeCell ref="D93:D99"/>
    <mergeCell ref="E93:E99"/>
    <mergeCell ref="F93:F99"/>
    <mergeCell ref="G93:G99"/>
    <mergeCell ref="H93:H99"/>
    <mergeCell ref="I93:I99"/>
    <mergeCell ref="B100:B106"/>
    <mergeCell ref="C100:C106"/>
    <mergeCell ref="D100:D106"/>
    <mergeCell ref="E100:E106"/>
    <mergeCell ref="F100:F106"/>
    <mergeCell ref="G100:G106"/>
    <mergeCell ref="H100:H106"/>
    <mergeCell ref="I100:I106"/>
    <mergeCell ref="E107:E113"/>
    <mergeCell ref="F107:F113"/>
    <mergeCell ref="G107:G113"/>
    <mergeCell ref="H107:H113"/>
    <mergeCell ref="I107:I113"/>
    <mergeCell ref="B114:B120"/>
    <mergeCell ref="C114:C120"/>
    <mergeCell ref="D114:D120"/>
    <mergeCell ref="E114:E120"/>
    <mergeCell ref="F114:F120"/>
    <mergeCell ref="G114:G120"/>
    <mergeCell ref="H114:H120"/>
    <mergeCell ref="I114:I120"/>
    <mergeCell ref="D121:D127"/>
    <mergeCell ref="E121:E127"/>
    <mergeCell ref="F121:F127"/>
    <mergeCell ref="G121:G127"/>
    <mergeCell ref="H121:H127"/>
    <mergeCell ref="I121:I127"/>
    <mergeCell ref="A23:A29"/>
    <mergeCell ref="A30:A36"/>
    <mergeCell ref="A37:A43"/>
    <mergeCell ref="A44:A50"/>
    <mergeCell ref="A51:A57"/>
    <mergeCell ref="A58:A64"/>
    <mergeCell ref="A65:A71"/>
    <mergeCell ref="A72:A78"/>
    <mergeCell ref="A79:A85"/>
    <mergeCell ref="A86:A92"/>
    <mergeCell ref="A93:A99"/>
    <mergeCell ref="A100:A106"/>
    <mergeCell ref="A107:A113"/>
    <mergeCell ref="A114:A120"/>
    <mergeCell ref="A121:A127"/>
    <mergeCell ref="B107:B113"/>
    <mergeCell ref="C107:C113"/>
    <mergeCell ref="D107:D113"/>
    <mergeCell ref="AE26:AE28"/>
    <mergeCell ref="AD86:AD92"/>
    <mergeCell ref="AD93:AD99"/>
    <mergeCell ref="AD100:AD106"/>
    <mergeCell ref="AD107:AD113"/>
    <mergeCell ref="AD114:AD120"/>
    <mergeCell ref="AD121:AD127"/>
    <mergeCell ref="AD23:AD29"/>
    <mergeCell ref="AD30:AD36"/>
    <mergeCell ref="AD37:AD43"/>
    <mergeCell ref="AD44:AD50"/>
    <mergeCell ref="AD51:AD57"/>
    <mergeCell ref="AD58:AD64"/>
    <mergeCell ref="AD65:AD71"/>
    <mergeCell ref="AD72:AD78"/>
    <mergeCell ref="AD79:AD85"/>
    <mergeCell ref="AE79:AE81"/>
    <mergeCell ref="AE121:AE123"/>
    <mergeCell ref="AE23:AE25"/>
    <mergeCell ref="AE30:AE32"/>
    <mergeCell ref="AE37:AE39"/>
  </mergeCells>
  <conditionalFormatting sqref="H16 H23 H30 H37 H44 H51 H58 H65 H72 H79 H86 H93 H100 H107 H114 H121">
    <cfRule type="cellIs" dxfId="32" priority="470" operator="equal">
      <formula>"Muy Alta"</formula>
    </cfRule>
    <cfRule type="cellIs" dxfId="31" priority="471" operator="equal">
      <formula>"Alta"</formula>
    </cfRule>
    <cfRule type="cellIs" dxfId="30" priority="472" operator="equal">
      <formula>"Media"</formula>
    </cfRule>
    <cfRule type="cellIs" dxfId="29" priority="473" operator="equal">
      <formula>"Baja"</formula>
    </cfRule>
    <cfRule type="cellIs" dxfId="28" priority="474" operator="equal">
      <formula>"Muy Baja"</formula>
    </cfRule>
  </conditionalFormatting>
  <conditionalFormatting sqref="K16 K23 K30 K37 K44 K51 K58 K65 K72 K79 K86 K93 K100 K107 K114 K121">
    <cfRule type="containsText" dxfId="27" priority="475" operator="containsText" text="❌">
      <formula>NOT(ISERROR(SEARCH(("❌"),(K16))))</formula>
    </cfRule>
  </conditionalFormatting>
  <conditionalFormatting sqref="L16 L23 L30 L37 L44 L51 L58 L65 L72 L79 L86 L93 L100 L107 L114 L121">
    <cfRule type="cellIs" dxfId="26" priority="440" operator="equal">
      <formula>"Catastrófico"</formula>
    </cfRule>
    <cfRule type="cellIs" dxfId="25" priority="441" operator="equal">
      <formula>"Mayor"</formula>
    </cfRule>
    <cfRule type="cellIs" dxfId="24" priority="442" operator="equal">
      <formula>"Moderado"</formula>
    </cfRule>
    <cfRule type="cellIs" dxfId="23" priority="443" operator="equal">
      <formula>"Menor"</formula>
    </cfRule>
    <cfRule type="cellIs" dxfId="22" priority="444" operator="equal">
      <formula>"Leve"</formula>
    </cfRule>
  </conditionalFormatting>
  <conditionalFormatting sqref="N16 N23 N30 N37 N44 N51 N58 N65 N72 N79 N86 N93 N100 N107 N114 N121">
    <cfRule type="cellIs" dxfId="21" priority="413" operator="equal">
      <formula>"Moderado"</formula>
    </cfRule>
    <cfRule type="cellIs" dxfId="20" priority="411" operator="equal">
      <formula>"Extremo"</formula>
    </cfRule>
    <cfRule type="cellIs" dxfId="19" priority="412" operator="equal">
      <formula>"Alto"</formula>
    </cfRule>
    <cfRule type="cellIs" dxfId="18" priority="414" operator="equal">
      <formula>"Bajo"</formula>
    </cfRule>
  </conditionalFormatting>
  <conditionalFormatting sqref="Y16:Y127">
    <cfRule type="cellIs" dxfId="17" priority="385" operator="equal">
      <formula>"Muy Baja"</formula>
    </cfRule>
    <cfRule type="cellIs" dxfId="16" priority="381" operator="equal">
      <formula>"Muy Alta"</formula>
    </cfRule>
    <cfRule type="cellIs" dxfId="15" priority="382" operator="equal">
      <formula>"Alta"</formula>
    </cfRule>
    <cfRule type="cellIs" dxfId="14" priority="383" operator="equal">
      <formula>"Media"</formula>
    </cfRule>
    <cfRule type="cellIs" dxfId="13" priority="384" operator="equal">
      <formula>"Baja"</formula>
    </cfRule>
  </conditionalFormatting>
  <conditionalFormatting sqref="AA16:AA127">
    <cfRule type="cellIs" dxfId="12" priority="371" operator="equal">
      <formula>"Catastrófico"</formula>
    </cfRule>
    <cfRule type="cellIs" dxfId="11" priority="372" operator="equal">
      <formula>"Mayor"</formula>
    </cfRule>
    <cfRule type="cellIs" dxfId="10" priority="373" operator="equal">
      <formula>"Moderado"</formula>
    </cfRule>
    <cfRule type="cellIs" dxfId="9" priority="374" operator="equal">
      <formula>"Menor"</formula>
    </cfRule>
    <cfRule type="cellIs" dxfId="8" priority="375" operator="equal">
      <formula>"Leve"</formula>
    </cfRule>
  </conditionalFormatting>
  <conditionalFormatting sqref="AC16:AC127">
    <cfRule type="cellIs" dxfId="7" priority="364" operator="equal">
      <formula>"Alto"</formula>
    </cfRule>
    <cfRule type="cellIs" dxfId="6" priority="365" operator="equal">
      <formula>"Moderado"</formula>
    </cfRule>
    <cfRule type="cellIs" dxfId="5" priority="366" operator="equal">
      <formula>"Bajo"</formula>
    </cfRule>
    <cfRule type="cellIs" dxfId="4" priority="363" operator="equal">
      <formula>"Extremo"</formula>
    </cfRule>
  </conditionalFormatting>
  <conditionalFormatting sqref="AD10:AD11 AD13:AD14 AD16 AD23 AD30 AD37 AD44 AD51 AD58 AD65 AD72 AD79 AD86 AD93 AD100 AD107 AD114 AD121">
    <cfRule type="cellIs" dxfId="3" priority="703" operator="equal">
      <formula>"Extremo"</formula>
    </cfRule>
    <cfRule type="cellIs" dxfId="2" priority="704" operator="equal">
      <formula>"Alto"</formula>
    </cfRule>
    <cfRule type="cellIs" dxfId="1" priority="705" operator="equal">
      <formula>"Moderado"</formula>
    </cfRule>
    <cfRule type="cellIs" dxfId="0" priority="706" operator="equal">
      <formula>"Bajo"</formula>
    </cfRule>
  </conditionalFormatting>
  <dataValidations count="4">
    <dataValidation allowBlank="1" showInputMessage="1" showErrorMessage="1" promptTitle="NOMBRE DEL PROCESO/SUBPROCESO" prompt="Debe colocar el nombre del proceso/subproceso, de acuerdo al modelo de operación por procesos de la Administración Municipal de Pasto (Mapa de Procesos)" sqref="C10:N10" xr:uid="{3A230BE5-98CD-449B-B443-66E30C3A37AB}"/>
    <dataValidation allowBlank="1" showInputMessage="1" showErrorMessage="1" promptTitle="OBJETIVO DEL PROCESO/SUBPROCESO" prompt="Debe colocar el objetivo del proceso/subproceso de acuerdo a la caracterización del proceso" sqref="C11:N11" xr:uid="{AA5EAAD1-B392-4427-A738-C1B025979AEF}"/>
    <dataValidation allowBlank="1" showInputMessage="1" showErrorMessage="1" promptTitle="ALCANCE DEL PROCESO/SUBPROCESO" prompt="Debe colocar el alcance del proceso/subproceso, de acuerdo a la caracterización del mismo Incluyendo LIMITE y APLICABILIDAD" sqref="C12:N12" xr:uid="{7F6F40CA-0BAF-47C0-A29C-A6EED92B486D}"/>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P16:P127" xr:uid="{CA6D7211-932B-4073-8F45-FD3AFADCE769}"/>
  </dataValidations>
  <pageMargins left="0.7" right="0.7" top="0.75" bottom="0.75" header="0" footer="0"/>
  <pageSetup orientation="portrait" r:id="rId1"/>
  <ignoredErrors>
    <ignoredError sqref="N5" numberStoredAsText="1"/>
  </ignoredErrors>
  <drawing r:id="rId2"/>
  <extLst>
    <ext xmlns:x14="http://schemas.microsoft.com/office/spreadsheetml/2009/9/main" uri="{CCE6A557-97BC-4b89-ADB6-D9C93CAAB3DF}">
      <x14:dataValidations xmlns:xm="http://schemas.microsoft.com/office/excel/2006/main" count="10">
        <x14:dataValidation type="list" allowBlank="1" showErrorMessage="1" xr:uid="{00000000-0002-0000-0000-000004000000}">
          <x14:formula1>
            <xm:f>'Opciones Tratamiento'!$E$2:$E$4</xm:f>
          </x14:formula1>
          <xm:sqref>B16 B23 B30 B37 B44 B51 B58 B65 B72 B79 B86 B93 B100 B107 B114 B121</xm:sqref>
        </x14:dataValidation>
        <x14:dataValidation type="list" allowBlank="1" showErrorMessage="1" xr:uid="{00000000-0002-0000-0000-000005000000}">
          <x14:formula1>
            <xm:f>'Tabla Impacto'!$F$210:$F$221</xm:f>
          </x14:formula1>
          <xm:sqref>J16 J23 J30 J37 J44 J51 J58 J65 J72 J79 J86 J93 J100 J107 J114 J121</xm:sqref>
        </x14:dataValidation>
        <x14:dataValidation type="list" allowBlank="1" showErrorMessage="1" xr:uid="{00000000-0002-0000-0000-000009000000}">
          <x14:formula1>
            <xm:f>'Opciones Tratamiento'!$B$9:$B$10</xm:f>
          </x14:formula1>
          <xm:sqref>AK16:AK127</xm:sqref>
        </x14:dataValidation>
        <x14:dataValidation type="list" allowBlank="1" showErrorMessage="1" xr:uid="{00000000-0002-0000-0000-00000A000000}">
          <x14:formula1>
            <xm:f>'Opciones Tratamiento'!$B$13:$B$19</xm:f>
          </x14:formula1>
          <xm:sqref>F16 F23 F30 F37 F44 F51 F58 F65 F72 F79 F86 F93 F100 F107 F114 F121</xm:sqref>
        </x14:dataValidation>
        <x14:dataValidation type="list" allowBlank="1" showErrorMessage="1" xr:uid="{00000000-0002-0000-0000-00000B000000}">
          <x14:formula1>
            <xm:f>'Tabla Valoración controles'!$D$9:$D$10</xm:f>
          </x14:formula1>
          <xm:sqref>U16:U127</xm:sqref>
        </x14:dataValidation>
        <x14:dataValidation type="list" allowBlank="1" showErrorMessage="1" xr:uid="{00000000-0002-0000-0000-00000C000000}">
          <x14:formula1>
            <xm:f>'Tabla Valoración controles'!$D$11:$D$12</xm:f>
          </x14:formula1>
          <xm:sqref>V16:V127</xm:sqref>
        </x14:dataValidation>
        <x14:dataValidation type="list" allowBlank="1" showErrorMessage="1" xr:uid="{00000000-0002-0000-0000-00000D000000}">
          <x14:formula1>
            <xm:f>'Tabla Valoración controles'!$D$13:$D$14</xm:f>
          </x14:formula1>
          <xm:sqref>W16:W127</xm:sqref>
        </x14:dataValidation>
        <x14:dataValidation type="list" allowBlank="1" showErrorMessage="1" xr:uid="{00000000-0002-0000-0000-00000E000000}">
          <x14:formula1>
            <xm:f>'Tabla Valoración controles'!$D$7:$D$8</xm:f>
          </x14:formula1>
          <xm:sqref>S16:S127</xm:sqref>
        </x14:dataValidation>
        <x14:dataValidation type="list" allowBlank="1" showErrorMessage="1" xr:uid="{00000000-0002-0000-0000-00000F000000}">
          <x14:formula1>
            <xm:f>'Tabla Valoración controles'!$D$4:$D$6</xm:f>
          </x14:formula1>
          <xm:sqref>R16:R127</xm:sqref>
        </x14:dataValidation>
        <x14:dataValidation type="list" allowBlank="1" showErrorMessage="1" xr:uid="{00000000-0002-0000-0000-000010000000}">
          <x14:formula1>
            <xm:f>'Opciones Tratamiento'!$B$2:$B$5</xm:f>
          </x14:formula1>
          <xm:sqref>AE16 AE19:AE23 AE26:AE30 AE33:AE37 AE40:AE44 AE47:AE51 AE54:AE58 AE61:AE65 AE68:AE72 AE75:AE79 AE82:AE86 AE89:AE93 AE96:AE100 AE103:AE107 AE110:AE114 AE117:AE121 AE124:AE127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heetViews>
  <sheetFormatPr baseColWidth="10" defaultColWidth="12.625" defaultRowHeight="15" customHeight="1" x14ac:dyDescent="0.2"/>
  <cols>
    <col min="1" max="1" width="28.75" customWidth="1"/>
    <col min="2" max="26" width="10" customWidth="1"/>
  </cols>
  <sheetData>
    <row r="3" spans="1:1" ht="12.75" customHeight="1" x14ac:dyDescent="0.2">
      <c r="A3" s="97" t="s">
        <v>167</v>
      </c>
    </row>
    <row r="4" spans="1:1" ht="12.75" customHeight="1" x14ac:dyDescent="0.2">
      <c r="A4" s="97" t="s">
        <v>169</v>
      </c>
    </row>
    <row r="5" spans="1:1" ht="12.75" customHeight="1" x14ac:dyDescent="0.2">
      <c r="A5" s="97" t="s">
        <v>171</v>
      </c>
    </row>
    <row r="6" spans="1:1" ht="12.75" customHeight="1" x14ac:dyDescent="0.2">
      <c r="A6" s="97" t="s">
        <v>173</v>
      </c>
    </row>
    <row r="7" spans="1:1" ht="12.75" customHeight="1" x14ac:dyDescent="0.2">
      <c r="A7" s="97" t="s">
        <v>175</v>
      </c>
    </row>
    <row r="8" spans="1:1" ht="12.75" customHeight="1" x14ac:dyDescent="0.2">
      <c r="A8" s="97" t="s">
        <v>178</v>
      </c>
    </row>
    <row r="9" spans="1:1" ht="12.75" customHeight="1" x14ac:dyDescent="0.2">
      <c r="A9" s="97" t="s">
        <v>181</v>
      </c>
    </row>
    <row r="10" spans="1:1" ht="12.75" customHeight="1" x14ac:dyDescent="0.2">
      <c r="A10" s="97" t="s">
        <v>183</v>
      </c>
    </row>
    <row r="11" spans="1:1" ht="12.75" customHeight="1" x14ac:dyDescent="0.2">
      <c r="A11" s="97" t="s">
        <v>185</v>
      </c>
    </row>
    <row r="12" spans="1:1" ht="12.75" customHeight="1" x14ac:dyDescent="0.2">
      <c r="A12" s="97" t="s">
        <v>209</v>
      </c>
    </row>
    <row r="13" spans="1:1" ht="12.75" customHeight="1" x14ac:dyDescent="0.2">
      <c r="A13" s="97" t="s">
        <v>210</v>
      </c>
    </row>
    <row r="14" spans="1:1" ht="12.75" customHeight="1" x14ac:dyDescent="0.2">
      <c r="A14" s="97" t="s">
        <v>211</v>
      </c>
    </row>
    <row r="15" spans="1:1" ht="12.75" customHeight="1" x14ac:dyDescent="0.2">
      <c r="A15" s="96"/>
    </row>
    <row r="16" spans="1:1" ht="12.75" customHeight="1" x14ac:dyDescent="0.2">
      <c r="A16" s="97" t="s">
        <v>212</v>
      </c>
    </row>
    <row r="17" spans="1:1" ht="12.75" customHeight="1" x14ac:dyDescent="0.2">
      <c r="A17" s="97" t="s">
        <v>192</v>
      </c>
    </row>
    <row r="18" spans="1:1" ht="12.75" customHeight="1" x14ac:dyDescent="0.2">
      <c r="A18" s="97" t="s">
        <v>194</v>
      </c>
    </row>
    <row r="19" spans="1:1" ht="12.75" customHeight="1" x14ac:dyDescent="0.2">
      <c r="A19" s="96"/>
    </row>
    <row r="20" spans="1:1" ht="12.75" customHeight="1" x14ac:dyDescent="0.2">
      <c r="A20" s="97" t="s">
        <v>200</v>
      </c>
    </row>
    <row r="21" spans="1:1" ht="12.75" customHeight="1" x14ac:dyDescent="0.2">
      <c r="A21" s="97" t="s">
        <v>201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4"/>
  <sheetViews>
    <sheetView workbookViewId="0">
      <selection activeCell="E36" sqref="E36:F36"/>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10" customWidth="1"/>
  </cols>
  <sheetData>
    <row r="2" spans="2:8" ht="14.25" x14ac:dyDescent="0.2">
      <c r="B2" s="214" t="s">
        <v>0</v>
      </c>
      <c r="C2" s="215"/>
      <c r="D2" s="215"/>
      <c r="E2" s="215"/>
      <c r="F2" s="215"/>
      <c r="G2" s="215"/>
      <c r="H2" s="216"/>
    </row>
    <row r="3" spans="2:8" ht="14.25" x14ac:dyDescent="0.2">
      <c r="B3" s="2"/>
      <c r="C3" s="3"/>
      <c r="D3" s="3"/>
      <c r="E3" s="3"/>
      <c r="F3" s="3"/>
      <c r="G3" s="3"/>
      <c r="H3" s="4"/>
    </row>
    <row r="4" spans="2:8" ht="63" customHeight="1" x14ac:dyDescent="0.2">
      <c r="B4" s="217" t="s">
        <v>1</v>
      </c>
      <c r="C4" s="218"/>
      <c r="D4" s="218"/>
      <c r="E4" s="218"/>
      <c r="F4" s="218"/>
      <c r="G4" s="218"/>
      <c r="H4" s="219"/>
    </row>
    <row r="5" spans="2:8" ht="63" customHeight="1" x14ac:dyDescent="0.2">
      <c r="B5" s="220"/>
      <c r="C5" s="221"/>
      <c r="D5" s="221"/>
      <c r="E5" s="221"/>
      <c r="F5" s="221"/>
      <c r="G5" s="221"/>
      <c r="H5" s="222"/>
    </row>
    <row r="6" spans="2:8" ht="14.25" x14ac:dyDescent="0.2">
      <c r="B6" s="223" t="s">
        <v>2</v>
      </c>
      <c r="C6" s="224"/>
      <c r="D6" s="224"/>
      <c r="E6" s="224"/>
      <c r="F6" s="224"/>
      <c r="G6" s="224"/>
      <c r="H6" s="225"/>
    </row>
    <row r="7" spans="2:8" ht="95.25" customHeight="1" x14ac:dyDescent="0.2">
      <c r="B7" s="226" t="s">
        <v>3</v>
      </c>
      <c r="C7" s="227"/>
      <c r="D7" s="227"/>
      <c r="E7" s="227"/>
      <c r="F7" s="227"/>
      <c r="G7" s="227"/>
      <c r="H7" s="228"/>
    </row>
    <row r="8" spans="2:8" ht="16.5" x14ac:dyDescent="0.2">
      <c r="B8" s="5"/>
      <c r="C8" s="6"/>
      <c r="D8" s="6"/>
      <c r="E8" s="6"/>
      <c r="F8" s="6"/>
      <c r="G8" s="6"/>
      <c r="H8" s="7"/>
    </row>
    <row r="9" spans="2:8" ht="16.5" customHeight="1" x14ac:dyDescent="0.2">
      <c r="B9" s="229" t="s">
        <v>4</v>
      </c>
      <c r="C9" s="218"/>
      <c r="D9" s="218"/>
      <c r="E9" s="218"/>
      <c r="F9" s="218"/>
      <c r="G9" s="218"/>
      <c r="H9" s="219"/>
    </row>
    <row r="10" spans="2:8" ht="44.25" customHeight="1" x14ac:dyDescent="0.2">
      <c r="B10" s="230"/>
      <c r="C10" s="218"/>
      <c r="D10" s="218"/>
      <c r="E10" s="218"/>
      <c r="F10" s="218"/>
      <c r="G10" s="218"/>
      <c r="H10" s="219"/>
    </row>
    <row r="11" spans="2:8" ht="14.25" x14ac:dyDescent="0.2">
      <c r="B11" s="8"/>
      <c r="C11" s="9"/>
      <c r="D11" s="10"/>
      <c r="E11" s="11"/>
      <c r="F11" s="11"/>
      <c r="G11" s="11"/>
      <c r="H11" s="12"/>
    </row>
    <row r="12" spans="2:8" ht="14.25" x14ac:dyDescent="0.2">
      <c r="B12" s="8"/>
      <c r="C12" s="210" t="s">
        <v>5</v>
      </c>
      <c r="D12" s="211"/>
      <c r="E12" s="212" t="s">
        <v>6</v>
      </c>
      <c r="F12" s="213"/>
      <c r="G12" s="9"/>
      <c r="H12" s="12"/>
    </row>
    <row r="13" spans="2:8" ht="35.25" customHeight="1" x14ac:dyDescent="0.2">
      <c r="B13" s="8"/>
      <c r="C13" s="206" t="s">
        <v>7</v>
      </c>
      <c r="D13" s="207"/>
      <c r="E13" s="208" t="s">
        <v>8</v>
      </c>
      <c r="F13" s="209"/>
      <c r="G13" s="9"/>
      <c r="H13" s="12"/>
    </row>
    <row r="14" spans="2:8" ht="17.25" customHeight="1" x14ac:dyDescent="0.2">
      <c r="B14" s="8"/>
      <c r="C14" s="206" t="s">
        <v>9</v>
      </c>
      <c r="D14" s="207"/>
      <c r="E14" s="208" t="s">
        <v>10</v>
      </c>
      <c r="F14" s="209"/>
      <c r="G14" s="9"/>
      <c r="H14" s="12"/>
    </row>
    <row r="15" spans="2:8" ht="19.5" customHeight="1" x14ac:dyDescent="0.2">
      <c r="B15" s="8"/>
      <c r="C15" s="206" t="s">
        <v>11</v>
      </c>
      <c r="D15" s="207"/>
      <c r="E15" s="208" t="s">
        <v>12</v>
      </c>
      <c r="F15" s="209"/>
      <c r="G15" s="9"/>
      <c r="H15" s="12"/>
    </row>
    <row r="16" spans="2:8" ht="69.75" customHeight="1" x14ac:dyDescent="0.2">
      <c r="B16" s="8"/>
      <c r="C16" s="206" t="s">
        <v>13</v>
      </c>
      <c r="D16" s="207"/>
      <c r="E16" s="208" t="s">
        <v>14</v>
      </c>
      <c r="F16" s="209"/>
      <c r="G16" s="9"/>
      <c r="H16" s="12"/>
    </row>
    <row r="17" spans="3:6" ht="34.5" customHeight="1" x14ac:dyDescent="0.2">
      <c r="C17" s="202" t="s">
        <v>15</v>
      </c>
      <c r="D17" s="203"/>
      <c r="E17" s="198" t="s">
        <v>16</v>
      </c>
      <c r="F17" s="199"/>
    </row>
    <row r="18" spans="3:6" ht="27.75" customHeight="1" x14ac:dyDescent="0.2">
      <c r="C18" s="202" t="s">
        <v>17</v>
      </c>
      <c r="D18" s="203"/>
      <c r="E18" s="198" t="s">
        <v>18</v>
      </c>
      <c r="F18" s="199"/>
    </row>
    <row r="19" spans="3:6" ht="28.5" customHeight="1" x14ac:dyDescent="0.2">
      <c r="C19" s="202" t="s">
        <v>19</v>
      </c>
      <c r="D19" s="203"/>
      <c r="E19" s="198" t="s">
        <v>20</v>
      </c>
      <c r="F19" s="199"/>
    </row>
    <row r="20" spans="3:6" ht="72.75" customHeight="1" x14ac:dyDescent="0.2">
      <c r="C20" s="202" t="s">
        <v>21</v>
      </c>
      <c r="D20" s="203"/>
      <c r="E20" s="198" t="s">
        <v>22</v>
      </c>
      <c r="F20" s="199"/>
    </row>
    <row r="21" spans="3:6" ht="64.5" customHeight="1" x14ac:dyDescent="0.2">
      <c r="C21" s="202" t="s">
        <v>23</v>
      </c>
      <c r="D21" s="203"/>
      <c r="E21" s="198" t="s">
        <v>24</v>
      </c>
      <c r="F21" s="199"/>
    </row>
    <row r="22" spans="3:6" ht="71.25" customHeight="1" x14ac:dyDescent="0.2">
      <c r="C22" s="202" t="s">
        <v>25</v>
      </c>
      <c r="D22" s="203"/>
      <c r="E22" s="198" t="s">
        <v>26</v>
      </c>
      <c r="F22" s="199"/>
    </row>
    <row r="23" spans="3:6" ht="55.5" customHeight="1" x14ac:dyDescent="0.2">
      <c r="C23" s="202" t="s">
        <v>27</v>
      </c>
      <c r="D23" s="203"/>
      <c r="E23" s="198" t="s">
        <v>28</v>
      </c>
      <c r="F23" s="199"/>
    </row>
    <row r="24" spans="3:6" ht="42" customHeight="1" x14ac:dyDescent="0.2">
      <c r="C24" s="202" t="s">
        <v>29</v>
      </c>
      <c r="D24" s="203"/>
      <c r="E24" s="198" t="s">
        <v>30</v>
      </c>
      <c r="F24" s="199"/>
    </row>
    <row r="25" spans="3:6" ht="59.25" customHeight="1" x14ac:dyDescent="0.2">
      <c r="C25" s="202" t="s">
        <v>31</v>
      </c>
      <c r="D25" s="203"/>
      <c r="E25" s="198" t="s">
        <v>32</v>
      </c>
      <c r="F25" s="199"/>
    </row>
    <row r="26" spans="3:6" ht="23.25" customHeight="1" x14ac:dyDescent="0.2">
      <c r="C26" s="202" t="s">
        <v>33</v>
      </c>
      <c r="D26" s="203"/>
      <c r="E26" s="198" t="s">
        <v>34</v>
      </c>
      <c r="F26" s="199"/>
    </row>
    <row r="27" spans="3:6" ht="30.75" customHeight="1" x14ac:dyDescent="0.2">
      <c r="C27" s="202" t="s">
        <v>35</v>
      </c>
      <c r="D27" s="203"/>
      <c r="E27" s="198" t="s">
        <v>36</v>
      </c>
      <c r="F27" s="199"/>
    </row>
    <row r="28" spans="3:6" ht="35.25" customHeight="1" x14ac:dyDescent="0.2">
      <c r="C28" s="202" t="s">
        <v>37</v>
      </c>
      <c r="D28" s="203"/>
      <c r="E28" s="198" t="s">
        <v>38</v>
      </c>
      <c r="F28" s="199"/>
    </row>
    <row r="29" spans="3:6" ht="33" customHeight="1" x14ac:dyDescent="0.2">
      <c r="C29" s="202" t="s">
        <v>39</v>
      </c>
      <c r="D29" s="203"/>
      <c r="E29" s="198" t="s">
        <v>38</v>
      </c>
      <c r="F29" s="199"/>
    </row>
    <row r="30" spans="3:6" ht="30" customHeight="1" x14ac:dyDescent="0.2">
      <c r="C30" s="202" t="s">
        <v>40</v>
      </c>
      <c r="D30" s="203"/>
      <c r="E30" s="198" t="s">
        <v>41</v>
      </c>
      <c r="F30" s="199"/>
    </row>
    <row r="31" spans="3:6" ht="35.25" customHeight="1" x14ac:dyDescent="0.2">
      <c r="C31" s="202" t="s">
        <v>42</v>
      </c>
      <c r="D31" s="203"/>
      <c r="E31" s="198" t="s">
        <v>43</v>
      </c>
      <c r="F31" s="199"/>
    </row>
    <row r="32" spans="3:6" ht="31.5" customHeight="1" x14ac:dyDescent="0.2">
      <c r="C32" s="202" t="s">
        <v>44</v>
      </c>
      <c r="D32" s="203"/>
      <c r="E32" s="198" t="s">
        <v>45</v>
      </c>
      <c r="F32" s="199"/>
    </row>
    <row r="33" spans="2:8" ht="35.25" customHeight="1" x14ac:dyDescent="0.2">
      <c r="B33" s="8"/>
      <c r="C33" s="202" t="s">
        <v>46</v>
      </c>
      <c r="D33" s="203"/>
      <c r="E33" s="198" t="s">
        <v>47</v>
      </c>
      <c r="F33" s="199"/>
      <c r="G33" s="9"/>
      <c r="H33" s="12"/>
    </row>
    <row r="34" spans="2:8" ht="59.25" customHeight="1" x14ac:dyDescent="0.2">
      <c r="B34" s="8"/>
      <c r="C34" s="202" t="s">
        <v>48</v>
      </c>
      <c r="D34" s="203"/>
      <c r="E34" s="198" t="s">
        <v>49</v>
      </c>
      <c r="F34" s="199"/>
      <c r="G34" s="9"/>
      <c r="H34" s="12"/>
    </row>
    <row r="35" spans="2:8" ht="29.25" customHeight="1" x14ac:dyDescent="0.2">
      <c r="B35" s="8"/>
      <c r="C35" s="202" t="s">
        <v>50</v>
      </c>
      <c r="D35" s="203"/>
      <c r="E35" s="198" t="s">
        <v>51</v>
      </c>
      <c r="F35" s="199"/>
      <c r="G35" s="9"/>
      <c r="H35" s="12"/>
    </row>
    <row r="36" spans="2:8" ht="82.5" customHeight="1" x14ac:dyDescent="0.2">
      <c r="B36" s="8"/>
      <c r="C36" s="202" t="s">
        <v>52</v>
      </c>
      <c r="D36" s="203"/>
      <c r="E36" s="198" t="s">
        <v>53</v>
      </c>
      <c r="F36" s="199"/>
      <c r="G36" s="9"/>
      <c r="H36" s="12"/>
    </row>
    <row r="37" spans="2:8" ht="46.5" customHeight="1" x14ac:dyDescent="0.2">
      <c r="B37" s="8"/>
      <c r="C37" s="202" t="s">
        <v>54</v>
      </c>
      <c r="D37" s="203"/>
      <c r="E37" s="198" t="s">
        <v>55</v>
      </c>
      <c r="F37" s="199"/>
      <c r="G37" s="9"/>
      <c r="H37" s="12"/>
    </row>
    <row r="38" spans="2:8" ht="6.75" customHeight="1" x14ac:dyDescent="0.2">
      <c r="B38" s="8"/>
      <c r="C38" s="204"/>
      <c r="D38" s="205"/>
      <c r="E38" s="200"/>
      <c r="F38" s="201"/>
      <c r="G38" s="9"/>
      <c r="H38" s="12"/>
    </row>
    <row r="39" spans="2:8" ht="15.75" customHeight="1" x14ac:dyDescent="0.2">
      <c r="B39" s="8"/>
      <c r="C39" s="13"/>
      <c r="D39" s="13"/>
      <c r="E39" s="14"/>
      <c r="F39" s="14"/>
      <c r="G39" s="9"/>
      <c r="H39" s="12"/>
    </row>
    <row r="40" spans="2:8" ht="21" customHeight="1" x14ac:dyDescent="0.2">
      <c r="B40" s="195" t="s">
        <v>56</v>
      </c>
      <c r="C40" s="196"/>
      <c r="D40" s="196"/>
      <c r="E40" s="196"/>
      <c r="F40" s="196"/>
      <c r="G40" s="196"/>
      <c r="H40" s="197"/>
    </row>
    <row r="41" spans="2:8" ht="20.25" customHeight="1" x14ac:dyDescent="0.2">
      <c r="B41" s="195" t="s">
        <v>57</v>
      </c>
      <c r="C41" s="196"/>
      <c r="D41" s="196"/>
      <c r="E41" s="196"/>
      <c r="F41" s="196"/>
      <c r="G41" s="196"/>
      <c r="H41" s="197"/>
    </row>
    <row r="42" spans="2:8" ht="20.25" customHeight="1" x14ac:dyDescent="0.2">
      <c r="B42" s="195" t="s">
        <v>58</v>
      </c>
      <c r="C42" s="196"/>
      <c r="D42" s="196"/>
      <c r="E42" s="196"/>
      <c r="F42" s="196"/>
      <c r="G42" s="196"/>
      <c r="H42" s="197"/>
    </row>
    <row r="43" spans="2:8" ht="20.25" customHeight="1" x14ac:dyDescent="0.2">
      <c r="B43" s="195" t="s">
        <v>59</v>
      </c>
      <c r="C43" s="196"/>
      <c r="D43" s="196"/>
      <c r="E43" s="196"/>
      <c r="F43" s="196"/>
      <c r="G43" s="196"/>
      <c r="H43" s="197"/>
    </row>
    <row r="44" spans="2:8" ht="15.75" customHeight="1" x14ac:dyDescent="0.2">
      <c r="B44" s="195" t="s">
        <v>60</v>
      </c>
      <c r="C44" s="196"/>
      <c r="D44" s="196"/>
      <c r="E44" s="196"/>
      <c r="F44" s="196"/>
      <c r="G44" s="196"/>
      <c r="H44" s="197"/>
    </row>
  </sheetData>
  <mergeCells count="64">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E17:F17"/>
    <mergeCell ref="C18:D18"/>
    <mergeCell ref="C19:D19"/>
    <mergeCell ref="C20:D20"/>
    <mergeCell ref="C21:D21"/>
    <mergeCell ref="C22:D22"/>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B43:H43"/>
    <mergeCell ref="B44:H44"/>
    <mergeCell ref="E31:F31"/>
    <mergeCell ref="E32:F32"/>
    <mergeCell ref="E33:F33"/>
    <mergeCell ref="E34:F34"/>
    <mergeCell ref="E35:F35"/>
    <mergeCell ref="E36:F36"/>
    <mergeCell ref="E37:F37"/>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T51"/>
  <sheetViews>
    <sheetView zoomScale="40" zoomScaleNormal="40" workbookViewId="0">
      <selection activeCell="V22" sqref="V22:W23"/>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2" spans="2:46" ht="18" customHeight="1" x14ac:dyDescent="0.25">
      <c r="B2" s="260" t="s">
        <v>93</v>
      </c>
      <c r="C2" s="218"/>
      <c r="D2" s="218"/>
      <c r="E2" s="218"/>
      <c r="F2" s="218"/>
      <c r="G2" s="218"/>
      <c r="H2" s="218"/>
      <c r="I2" s="218"/>
      <c r="J2" s="261" t="s">
        <v>15</v>
      </c>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44"/>
      <c r="AN2" s="1"/>
      <c r="AO2" s="1"/>
      <c r="AP2" s="1"/>
      <c r="AQ2" s="1"/>
      <c r="AR2" s="1"/>
      <c r="AS2" s="1"/>
      <c r="AT2" s="1"/>
    </row>
    <row r="3" spans="2:46" ht="18.75" customHeight="1" x14ac:dyDescent="0.25">
      <c r="B3" s="218"/>
      <c r="C3" s="218"/>
      <c r="D3" s="218"/>
      <c r="E3" s="218"/>
      <c r="F3" s="218"/>
      <c r="G3" s="218"/>
      <c r="H3" s="218"/>
      <c r="I3" s="218"/>
      <c r="J3" s="263"/>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64"/>
      <c r="AN3" s="1"/>
      <c r="AO3" s="1"/>
      <c r="AP3" s="1"/>
      <c r="AQ3" s="1"/>
      <c r="AR3" s="1"/>
      <c r="AS3" s="1"/>
      <c r="AT3" s="1"/>
    </row>
    <row r="4" spans="2:46" ht="15" customHeight="1" x14ac:dyDescent="0.25">
      <c r="B4" s="218"/>
      <c r="C4" s="218"/>
      <c r="D4" s="218"/>
      <c r="E4" s="218"/>
      <c r="F4" s="218"/>
      <c r="G4" s="218"/>
      <c r="H4" s="218"/>
      <c r="I4" s="218"/>
      <c r="J4" s="233"/>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37"/>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
      <c r="B6" s="266" t="s">
        <v>94</v>
      </c>
      <c r="C6" s="262"/>
      <c r="D6" s="232"/>
      <c r="E6" s="251" t="s">
        <v>95</v>
      </c>
      <c r="F6" s="252"/>
      <c r="G6" s="252"/>
      <c r="H6" s="252"/>
      <c r="I6" s="238"/>
      <c r="J6" s="239" t="str">
        <f>IF(AND('Mapa final'!$H$16="Muy Alta",'Mapa final'!$L$16="Leve"),CONCATENATE("R",'Mapa final'!$A$16),"")</f>
        <v/>
      </c>
      <c r="K6" s="236"/>
      <c r="L6" s="241" t="str">
        <f>IF(AND('Mapa final'!$H$23="Muy Alta",'Mapa final'!$L$23="Leve"),CONCATENATE("R",'Mapa final'!$A$23),"")</f>
        <v/>
      </c>
      <c r="M6" s="236"/>
      <c r="N6" s="241" t="str">
        <f>IF(AND('Mapa final'!$H$30="Muy Alta",'Mapa final'!$L$30="Leve"),CONCATENATE("R",'Mapa final'!$A$30),"")</f>
        <v/>
      </c>
      <c r="O6" s="238"/>
      <c r="P6" s="239" t="str">
        <f>IF(AND('Mapa final'!$H$16="Muy Alta",'Mapa final'!$L$16="Menor"),CONCATENATE("R",'Mapa final'!$A$16),"")</f>
        <v/>
      </c>
      <c r="Q6" s="236"/>
      <c r="R6" s="241" t="str">
        <f>IF(AND('Mapa final'!$H$23="Muy Alta",'Mapa final'!$L$23="Menor"),CONCATENATE("R",'Mapa final'!$A$23),"")</f>
        <v/>
      </c>
      <c r="S6" s="236"/>
      <c r="T6" s="241" t="str">
        <f>IF(AND('Mapa final'!$H$30="Muy Alta",'Mapa final'!$L$30="Menor"),CONCATENATE("R",'Mapa final'!$A$30),"")</f>
        <v/>
      </c>
      <c r="U6" s="238"/>
      <c r="V6" s="239" t="str">
        <f>IF(AND('Mapa final'!$H$16="Muy Alta",'Mapa final'!$L$16="Moderado"),CONCATENATE("R",'Mapa final'!$A$16),"")</f>
        <v/>
      </c>
      <c r="W6" s="236"/>
      <c r="X6" s="241" t="str">
        <f>IF(AND('Mapa final'!$H$23="Muy Alta",'Mapa final'!$L$23="Moderado"),CONCATENATE("R",'Mapa final'!$A$23),"")</f>
        <v/>
      </c>
      <c r="Y6" s="236"/>
      <c r="Z6" s="241" t="str">
        <f>IF(AND('Mapa final'!$H$30="Muy Alta",'Mapa final'!$L$30="Moderado"),CONCATENATE("R",'Mapa final'!$A$30),"")</f>
        <v/>
      </c>
      <c r="AA6" s="238"/>
      <c r="AB6" s="239" t="str">
        <f>IF(AND('Mapa final'!$H$16="Muy Alta",'Mapa final'!$L$16="Mayor"),CONCATENATE("R",'Mapa final'!$A$16),"")</f>
        <v/>
      </c>
      <c r="AC6" s="236"/>
      <c r="AD6" s="241" t="str">
        <f>IF(AND('Mapa final'!$H$23="Muy Alta",'Mapa final'!$L$23="Mayor"),CONCATENATE("R",'Mapa final'!$A$23),"")</f>
        <v/>
      </c>
      <c r="AE6" s="236"/>
      <c r="AF6" s="241" t="str">
        <f>IF(AND('Mapa final'!$H$30="Muy Alta",'Mapa final'!$L$30="Mayor"),CONCATENATE("R",'Mapa final'!$A$30),"")</f>
        <v/>
      </c>
      <c r="AG6" s="238"/>
      <c r="AH6" s="258" t="str">
        <f>IF(AND('Mapa final'!$H$16="Muy Alta",'Mapa final'!$L$16="Catastrófico"),CONCATENATE("R",'Mapa final'!$A$16),"")</f>
        <v/>
      </c>
      <c r="AI6" s="236"/>
      <c r="AJ6" s="242" t="str">
        <f>IF(AND('Mapa final'!$H$23="Muy Alta",'Mapa final'!$L$23="Catastrófico"),CONCATENATE("R",'Mapa final'!$A$23),"")</f>
        <v/>
      </c>
      <c r="AK6" s="236"/>
      <c r="AL6" s="242" t="str">
        <f>IF(AND('Mapa final'!$H$30="Muy Alta",'Mapa final'!$L$30="Catastrófico"),CONCATENATE("R",'Mapa final'!$A$30),"")</f>
        <v/>
      </c>
      <c r="AM6" s="238"/>
      <c r="AO6" s="269" t="s">
        <v>96</v>
      </c>
      <c r="AP6" s="270"/>
      <c r="AQ6" s="270"/>
      <c r="AR6" s="270"/>
      <c r="AS6" s="270"/>
      <c r="AT6" s="271"/>
    </row>
    <row r="7" spans="2:46" ht="15" customHeight="1" x14ac:dyDescent="0.25">
      <c r="B7" s="263"/>
      <c r="C7" s="218"/>
      <c r="D7" s="219"/>
      <c r="E7" s="230"/>
      <c r="F7" s="218"/>
      <c r="G7" s="218"/>
      <c r="H7" s="218"/>
      <c r="I7" s="219"/>
      <c r="J7" s="240"/>
      <c r="K7" s="237"/>
      <c r="L7" s="233"/>
      <c r="M7" s="237"/>
      <c r="N7" s="233"/>
      <c r="O7" s="234"/>
      <c r="P7" s="240"/>
      <c r="Q7" s="237"/>
      <c r="R7" s="233"/>
      <c r="S7" s="237"/>
      <c r="T7" s="233"/>
      <c r="U7" s="234"/>
      <c r="V7" s="240"/>
      <c r="W7" s="237"/>
      <c r="X7" s="233"/>
      <c r="Y7" s="237"/>
      <c r="Z7" s="233"/>
      <c r="AA7" s="234"/>
      <c r="AB7" s="240"/>
      <c r="AC7" s="237"/>
      <c r="AD7" s="233"/>
      <c r="AE7" s="237"/>
      <c r="AF7" s="233"/>
      <c r="AG7" s="234"/>
      <c r="AH7" s="240"/>
      <c r="AI7" s="237"/>
      <c r="AJ7" s="233"/>
      <c r="AK7" s="237"/>
      <c r="AL7" s="233"/>
      <c r="AM7" s="234"/>
      <c r="AN7" s="1"/>
      <c r="AO7" s="272"/>
      <c r="AP7" s="218"/>
      <c r="AQ7" s="218"/>
      <c r="AR7" s="218"/>
      <c r="AS7" s="218"/>
      <c r="AT7" s="273"/>
    </row>
    <row r="8" spans="2:46" ht="15" customHeight="1" x14ac:dyDescent="0.25">
      <c r="B8" s="263"/>
      <c r="C8" s="218"/>
      <c r="D8" s="219"/>
      <c r="E8" s="230"/>
      <c r="F8" s="218"/>
      <c r="G8" s="218"/>
      <c r="H8" s="218"/>
      <c r="I8" s="219"/>
      <c r="J8" s="246" t="str">
        <f>IF(AND('Mapa final'!$H$37="Muy Alta",'Mapa final'!$L$37="Leve"),CONCATENATE("R",'Mapa final'!$A$37),"")</f>
        <v/>
      </c>
      <c r="K8" s="244"/>
      <c r="L8" s="247" t="str">
        <f>IF(AND('Mapa final'!$H$44="Muy Alta",'Mapa final'!$L$44="Leve"),CONCATENATE("R",'Mapa final'!$A$44),"")</f>
        <v/>
      </c>
      <c r="M8" s="244"/>
      <c r="N8" s="247" t="str">
        <f>IF(AND('Mapa final'!$H$51="Muy Alta",'Mapa final'!$L$51="Leve"),CONCATENATE("R",'Mapa final'!$A$51),"")</f>
        <v/>
      </c>
      <c r="O8" s="232"/>
      <c r="P8" s="246" t="str">
        <f>IF(AND('Mapa final'!$H$37="Muy Alta",'Mapa final'!$L$37="Menor"),CONCATENATE("R",'Mapa final'!$A$37),"")</f>
        <v/>
      </c>
      <c r="Q8" s="244"/>
      <c r="R8" s="247" t="str">
        <f>IF(AND('Mapa final'!$H$44="Muy Alta",'Mapa final'!$L$44="Menor"),CONCATENATE("R",'Mapa final'!$A$44),"")</f>
        <v/>
      </c>
      <c r="S8" s="244"/>
      <c r="T8" s="247" t="str">
        <f>IF(AND('Mapa final'!$H$51="Muy Alta",'Mapa final'!$L$51="Menor"),CONCATENATE("R",'Mapa final'!$A$51),"")</f>
        <v/>
      </c>
      <c r="U8" s="232"/>
      <c r="V8" s="246" t="str">
        <f>IF(AND('Mapa final'!$H$37="Muy Alta",'Mapa final'!$L$37="Moderado"),CONCATENATE("R",'Mapa final'!$A$37),"")</f>
        <v/>
      </c>
      <c r="W8" s="244"/>
      <c r="X8" s="247" t="str">
        <f>IF(AND('Mapa final'!$H$44="Muy Alta",'Mapa final'!$L$44="Moderado"),CONCATENATE("R",'Mapa final'!$A$44),"")</f>
        <v/>
      </c>
      <c r="Y8" s="244"/>
      <c r="Z8" s="247" t="str">
        <f>IF(AND('Mapa final'!$H$51="Muy Alta",'Mapa final'!$L$51="Moderado"),CONCATENATE("R",'Mapa final'!$A$51),"")</f>
        <v/>
      </c>
      <c r="AA8" s="232"/>
      <c r="AB8" s="246" t="str">
        <f>IF(AND('Mapa final'!$H$37="Muy Alta",'Mapa final'!$L$37="Mayor"),CONCATENATE("R",'Mapa final'!$A$37),"")</f>
        <v/>
      </c>
      <c r="AC8" s="244"/>
      <c r="AD8" s="247" t="str">
        <f>IF(AND('Mapa final'!$H$44="Muy Alta",'Mapa final'!$L$44="Mayor"),CONCATENATE("R",'Mapa final'!$A$44),"")</f>
        <v/>
      </c>
      <c r="AE8" s="244"/>
      <c r="AF8" s="247" t="str">
        <f>IF(AND('Mapa final'!$H$51="Muy Alta",'Mapa final'!$L$51="Mayor"),CONCATENATE("R",'Mapa final'!$A$51),"")</f>
        <v/>
      </c>
      <c r="AG8" s="232"/>
      <c r="AH8" s="248" t="str">
        <f>IF(AND('Mapa final'!$H$37="Muy Alta",'Mapa final'!$L$37="Catastrófico"),CONCATENATE("R",'Mapa final'!$A$37),"")</f>
        <v/>
      </c>
      <c r="AI8" s="244"/>
      <c r="AJ8" s="249" t="str">
        <f>IF(AND('Mapa final'!$H$44="Muy Alta",'Mapa final'!$L$44="Catastrófico"),CONCATENATE("R",'Mapa final'!$A$44),"")</f>
        <v/>
      </c>
      <c r="AK8" s="244"/>
      <c r="AL8" s="249" t="str">
        <f>IF(AND('Mapa final'!$H$51="Muy Alta",'Mapa final'!$L$51="Catastrófico"),CONCATENATE("R",'Mapa final'!$A$51),"")</f>
        <v/>
      </c>
      <c r="AM8" s="232"/>
      <c r="AN8" s="1"/>
      <c r="AO8" s="272"/>
      <c r="AP8" s="218"/>
      <c r="AQ8" s="218"/>
      <c r="AR8" s="218"/>
      <c r="AS8" s="218"/>
      <c r="AT8" s="273"/>
    </row>
    <row r="9" spans="2:46" ht="15" customHeight="1" x14ac:dyDescent="0.25">
      <c r="B9" s="263"/>
      <c r="C9" s="218"/>
      <c r="D9" s="219"/>
      <c r="E9" s="230"/>
      <c r="F9" s="218"/>
      <c r="G9" s="218"/>
      <c r="H9" s="218"/>
      <c r="I9" s="219"/>
      <c r="J9" s="240"/>
      <c r="K9" s="237"/>
      <c r="L9" s="233"/>
      <c r="M9" s="237"/>
      <c r="N9" s="233"/>
      <c r="O9" s="234"/>
      <c r="P9" s="240"/>
      <c r="Q9" s="237"/>
      <c r="R9" s="233"/>
      <c r="S9" s="237"/>
      <c r="T9" s="233"/>
      <c r="U9" s="234"/>
      <c r="V9" s="240"/>
      <c r="W9" s="237"/>
      <c r="X9" s="233"/>
      <c r="Y9" s="237"/>
      <c r="Z9" s="233"/>
      <c r="AA9" s="234"/>
      <c r="AB9" s="240"/>
      <c r="AC9" s="237"/>
      <c r="AD9" s="233"/>
      <c r="AE9" s="237"/>
      <c r="AF9" s="233"/>
      <c r="AG9" s="234"/>
      <c r="AH9" s="240"/>
      <c r="AI9" s="237"/>
      <c r="AJ9" s="233"/>
      <c r="AK9" s="237"/>
      <c r="AL9" s="233"/>
      <c r="AM9" s="234"/>
      <c r="AN9" s="1"/>
      <c r="AO9" s="272"/>
      <c r="AP9" s="218"/>
      <c r="AQ9" s="218"/>
      <c r="AR9" s="218"/>
      <c r="AS9" s="218"/>
      <c r="AT9" s="273"/>
    </row>
    <row r="10" spans="2:46" ht="15" customHeight="1" x14ac:dyDescent="0.25">
      <c r="B10" s="263"/>
      <c r="C10" s="218"/>
      <c r="D10" s="219"/>
      <c r="E10" s="230"/>
      <c r="F10" s="218"/>
      <c r="G10" s="218"/>
      <c r="H10" s="218"/>
      <c r="I10" s="219"/>
      <c r="J10" s="246" t="e">
        <f>IF(AND('Mapa final'!#REF!="Muy Alta",'Mapa final'!#REF!="Leve"),CONCATENATE("R",'Mapa final'!#REF!),"")</f>
        <v>#REF!</v>
      </c>
      <c r="K10" s="244"/>
      <c r="L10" s="247" t="e">
        <f>IF(AND('Mapa final'!#REF!="Muy Alta",'Mapa final'!#REF!="Leve"),CONCATENATE("R",'Mapa final'!#REF!),"")</f>
        <v>#REF!</v>
      </c>
      <c r="M10" s="244"/>
      <c r="N10" s="247" t="e">
        <f>IF(AND('Mapa final'!#REF!="Muy Alta",'Mapa final'!#REF!="Leve"),CONCATENATE("R",'Mapa final'!#REF!),"")</f>
        <v>#REF!</v>
      </c>
      <c r="O10" s="232"/>
      <c r="P10" s="246" t="e">
        <f>IF(AND('Mapa final'!#REF!="Muy Alta",'Mapa final'!#REF!="Menor"),CONCATENATE("R",'Mapa final'!#REF!),"")</f>
        <v>#REF!</v>
      </c>
      <c r="Q10" s="244"/>
      <c r="R10" s="247" t="e">
        <f>IF(AND('Mapa final'!#REF!="Muy Alta",'Mapa final'!#REF!="Menor"),CONCATENATE("R",'Mapa final'!#REF!),"")</f>
        <v>#REF!</v>
      </c>
      <c r="S10" s="244"/>
      <c r="T10" s="247" t="e">
        <f>IF(AND('Mapa final'!#REF!="Muy Alta",'Mapa final'!#REF!="Menor"),CONCATENATE("R",'Mapa final'!#REF!),"")</f>
        <v>#REF!</v>
      </c>
      <c r="U10" s="232"/>
      <c r="V10" s="246" t="e">
        <f>IF(AND('Mapa final'!#REF!="Muy Alta",'Mapa final'!#REF!="Moderado"),CONCATENATE("R",'Mapa final'!#REF!),"")</f>
        <v>#REF!</v>
      </c>
      <c r="W10" s="244"/>
      <c r="X10" s="247" t="e">
        <f>IF(AND('Mapa final'!#REF!="Muy Alta",'Mapa final'!#REF!="Moderado"),CONCATENATE("R",'Mapa final'!#REF!),"")</f>
        <v>#REF!</v>
      </c>
      <c r="Y10" s="244"/>
      <c r="Z10" s="247" t="e">
        <f>IF(AND('Mapa final'!#REF!="Muy Alta",'Mapa final'!#REF!="Moderado"),CONCATENATE("R",'Mapa final'!#REF!),"")</f>
        <v>#REF!</v>
      </c>
      <c r="AA10" s="232"/>
      <c r="AB10" s="246" t="e">
        <f>IF(AND('Mapa final'!#REF!="Muy Alta",'Mapa final'!#REF!="Mayor"),CONCATENATE("R",'Mapa final'!#REF!),"")</f>
        <v>#REF!</v>
      </c>
      <c r="AC10" s="244"/>
      <c r="AD10" s="247" t="e">
        <f>IF(AND('Mapa final'!#REF!="Muy Alta",'Mapa final'!#REF!="Mayor"),CONCATENATE("R",'Mapa final'!#REF!),"")</f>
        <v>#REF!</v>
      </c>
      <c r="AE10" s="244"/>
      <c r="AF10" s="247" t="e">
        <f>IF(AND('Mapa final'!#REF!="Muy Alta",'Mapa final'!#REF!="Mayor"),CONCATENATE("R",'Mapa final'!#REF!),"")</f>
        <v>#REF!</v>
      </c>
      <c r="AG10" s="232"/>
      <c r="AH10" s="248" t="e">
        <f>IF(AND('Mapa final'!#REF!="Muy Alta",'Mapa final'!#REF!="Catastrófico"),CONCATENATE("R",'Mapa final'!#REF!),"")</f>
        <v>#REF!</v>
      </c>
      <c r="AI10" s="244"/>
      <c r="AJ10" s="249" t="e">
        <f>IF(AND('Mapa final'!#REF!="Muy Alta",'Mapa final'!#REF!="Catastrófico"),CONCATENATE("R",'Mapa final'!#REF!),"")</f>
        <v>#REF!</v>
      </c>
      <c r="AK10" s="244"/>
      <c r="AL10" s="249" t="e">
        <f>IF(AND('Mapa final'!#REF!="Muy Alta",'Mapa final'!#REF!="Catastrófico"),CONCATENATE("R",'Mapa final'!#REF!),"")</f>
        <v>#REF!</v>
      </c>
      <c r="AM10" s="232"/>
      <c r="AN10" s="1"/>
      <c r="AO10" s="272"/>
      <c r="AP10" s="218"/>
      <c r="AQ10" s="218"/>
      <c r="AR10" s="218"/>
      <c r="AS10" s="218"/>
      <c r="AT10" s="273"/>
    </row>
    <row r="11" spans="2:46" ht="15" customHeight="1" x14ac:dyDescent="0.25">
      <c r="B11" s="263"/>
      <c r="C11" s="218"/>
      <c r="D11" s="219"/>
      <c r="E11" s="230"/>
      <c r="F11" s="218"/>
      <c r="G11" s="218"/>
      <c r="H11" s="218"/>
      <c r="I11" s="219"/>
      <c r="J11" s="240"/>
      <c r="K11" s="237"/>
      <c r="L11" s="233"/>
      <c r="M11" s="237"/>
      <c r="N11" s="233"/>
      <c r="O11" s="234"/>
      <c r="P11" s="240"/>
      <c r="Q11" s="237"/>
      <c r="R11" s="233"/>
      <c r="S11" s="237"/>
      <c r="T11" s="233"/>
      <c r="U11" s="234"/>
      <c r="V11" s="240"/>
      <c r="W11" s="237"/>
      <c r="X11" s="233"/>
      <c r="Y11" s="237"/>
      <c r="Z11" s="233"/>
      <c r="AA11" s="234"/>
      <c r="AB11" s="240"/>
      <c r="AC11" s="237"/>
      <c r="AD11" s="233"/>
      <c r="AE11" s="237"/>
      <c r="AF11" s="233"/>
      <c r="AG11" s="234"/>
      <c r="AH11" s="240"/>
      <c r="AI11" s="237"/>
      <c r="AJ11" s="233"/>
      <c r="AK11" s="237"/>
      <c r="AL11" s="233"/>
      <c r="AM11" s="234"/>
      <c r="AN11" s="1"/>
      <c r="AO11" s="272"/>
      <c r="AP11" s="218"/>
      <c r="AQ11" s="218"/>
      <c r="AR11" s="218"/>
      <c r="AS11" s="218"/>
      <c r="AT11" s="273"/>
    </row>
    <row r="12" spans="2:46" ht="15" customHeight="1" x14ac:dyDescent="0.25">
      <c r="B12" s="263"/>
      <c r="C12" s="218"/>
      <c r="D12" s="219"/>
      <c r="E12" s="230"/>
      <c r="F12" s="218"/>
      <c r="G12" s="218"/>
      <c r="H12" s="218"/>
      <c r="I12" s="219"/>
      <c r="J12" s="246" t="e">
        <f>IF(AND('Mapa final'!#REF!="Muy Alta",'Mapa final'!#REF!="Leve"),CONCATENATE("R",'Mapa final'!#REF!),"")</f>
        <v>#REF!</v>
      </c>
      <c r="K12" s="244"/>
      <c r="L12" s="247" t="e">
        <f>IF(AND('Mapa final'!#REF!="Muy Alta",'Mapa final'!#REF!="Leve"),CONCATENATE("R",'Mapa final'!#REF!),"")</f>
        <v>#REF!</v>
      </c>
      <c r="M12" s="244"/>
      <c r="N12" s="247" t="str">
        <f>IF(AND('Mapa final'!$H$134="Muy Alta",'Mapa final'!$L$134="Leve"),CONCATENATE("R",'Mapa final'!$A$134),"")</f>
        <v/>
      </c>
      <c r="O12" s="232"/>
      <c r="P12" s="246" t="e">
        <f>IF(AND('Mapa final'!#REF!="Muy Alta",'Mapa final'!#REF!="Menor"),CONCATENATE("R",'Mapa final'!#REF!),"")</f>
        <v>#REF!</v>
      </c>
      <c r="Q12" s="244"/>
      <c r="R12" s="247" t="e">
        <f>IF(AND('Mapa final'!#REF!="Muy Alta",'Mapa final'!#REF!="Menor"),CONCATENATE("R",'Mapa final'!#REF!),"")</f>
        <v>#REF!</v>
      </c>
      <c r="S12" s="244"/>
      <c r="T12" s="247" t="str">
        <f>IF(AND('Mapa final'!$H$134="Muy Alta",'Mapa final'!$L$134="Menor"),CONCATENATE("R",'Mapa final'!$A$134),"")</f>
        <v/>
      </c>
      <c r="U12" s="232"/>
      <c r="V12" s="246" t="e">
        <f>IF(AND('Mapa final'!#REF!="Muy Alta",'Mapa final'!#REF!="Moderado"),CONCATENATE("R",'Mapa final'!#REF!),"")</f>
        <v>#REF!</v>
      </c>
      <c r="W12" s="244"/>
      <c r="X12" s="247" t="e">
        <f>IF(AND('Mapa final'!#REF!="Muy Alta",'Mapa final'!#REF!="Moderado"),CONCATENATE("R",'Mapa final'!#REF!),"")</f>
        <v>#REF!</v>
      </c>
      <c r="Y12" s="244"/>
      <c r="Z12" s="247" t="str">
        <f>IF(AND('Mapa final'!$H$134="Muy Alta",'Mapa final'!$L$134="Moderado"),CONCATENATE("R",'Mapa final'!$A$134),"")</f>
        <v/>
      </c>
      <c r="AA12" s="232"/>
      <c r="AB12" s="246" t="e">
        <f>IF(AND('Mapa final'!#REF!="Muy Alta",'Mapa final'!#REF!="Mayor"),CONCATENATE("R",'Mapa final'!#REF!),"")</f>
        <v>#REF!</v>
      </c>
      <c r="AC12" s="244"/>
      <c r="AD12" s="247" t="e">
        <f>IF(AND('Mapa final'!#REF!="Muy Alta",'Mapa final'!#REF!="Mayor"),CONCATENATE("R",'Mapa final'!#REF!),"")</f>
        <v>#REF!</v>
      </c>
      <c r="AE12" s="244"/>
      <c r="AF12" s="247" t="str">
        <f>IF(AND('Mapa final'!$H$134="Muy Alta",'Mapa final'!$L$134="Mayor"),CONCATENATE("R",'Mapa final'!$A$134),"")</f>
        <v/>
      </c>
      <c r="AG12" s="232"/>
      <c r="AH12" s="248" t="e">
        <f>IF(AND('Mapa final'!#REF!="Muy Alta",'Mapa final'!#REF!="Catastrófico"),CONCATENATE("R",'Mapa final'!#REF!),"")</f>
        <v>#REF!</v>
      </c>
      <c r="AI12" s="244"/>
      <c r="AJ12" s="249" t="e">
        <f>IF(AND('Mapa final'!#REF!="Muy Alta",'Mapa final'!#REF!="Catastrófico"),CONCATENATE("R",'Mapa final'!#REF!),"")</f>
        <v>#REF!</v>
      </c>
      <c r="AK12" s="244"/>
      <c r="AL12" s="249" t="str">
        <f>IF(AND('Mapa final'!$H$134="Muy Alta",'Mapa final'!$L$134="Catastrófico"),CONCATENATE("R",'Mapa final'!$A$134),"")</f>
        <v/>
      </c>
      <c r="AM12" s="232"/>
      <c r="AN12" s="1"/>
      <c r="AO12" s="272"/>
      <c r="AP12" s="218"/>
      <c r="AQ12" s="218"/>
      <c r="AR12" s="218"/>
      <c r="AS12" s="218"/>
      <c r="AT12" s="273"/>
    </row>
    <row r="13" spans="2:46" ht="15.75" customHeight="1" x14ac:dyDescent="0.25">
      <c r="B13" s="263"/>
      <c r="C13" s="218"/>
      <c r="D13" s="219"/>
      <c r="E13" s="253"/>
      <c r="F13" s="254"/>
      <c r="G13" s="254"/>
      <c r="H13" s="254"/>
      <c r="I13" s="257"/>
      <c r="J13" s="240"/>
      <c r="K13" s="237"/>
      <c r="L13" s="233"/>
      <c r="M13" s="237"/>
      <c r="N13" s="233"/>
      <c r="O13" s="234"/>
      <c r="P13" s="240"/>
      <c r="Q13" s="237"/>
      <c r="R13" s="233"/>
      <c r="S13" s="237"/>
      <c r="T13" s="233"/>
      <c r="U13" s="234"/>
      <c r="V13" s="240"/>
      <c r="W13" s="237"/>
      <c r="X13" s="233"/>
      <c r="Y13" s="237"/>
      <c r="Z13" s="233"/>
      <c r="AA13" s="234"/>
      <c r="AB13" s="240"/>
      <c r="AC13" s="237"/>
      <c r="AD13" s="233"/>
      <c r="AE13" s="237"/>
      <c r="AF13" s="233"/>
      <c r="AG13" s="234"/>
      <c r="AH13" s="253"/>
      <c r="AI13" s="255"/>
      <c r="AJ13" s="256"/>
      <c r="AK13" s="255"/>
      <c r="AL13" s="256"/>
      <c r="AM13" s="257"/>
      <c r="AN13" s="1"/>
      <c r="AO13" s="274"/>
      <c r="AP13" s="275"/>
      <c r="AQ13" s="275"/>
      <c r="AR13" s="275"/>
      <c r="AS13" s="275"/>
      <c r="AT13" s="276"/>
    </row>
    <row r="14" spans="2:46" ht="15" customHeight="1" x14ac:dyDescent="0.25">
      <c r="B14" s="263"/>
      <c r="C14" s="218"/>
      <c r="D14" s="219"/>
      <c r="E14" s="251" t="s">
        <v>97</v>
      </c>
      <c r="F14" s="252"/>
      <c r="G14" s="252"/>
      <c r="H14" s="252"/>
      <c r="I14" s="252"/>
      <c r="J14" s="250" t="str">
        <f>IF(AND('Mapa final'!$H$16="Alta",'Mapa final'!$L$16="Leve"),CONCATENATE("R",'Mapa final'!$A$16),"")</f>
        <v/>
      </c>
      <c r="K14" s="236"/>
      <c r="L14" s="235" t="str">
        <f>IF(AND('Mapa final'!$H$23="Alta",'Mapa final'!$L$23="Leve"),CONCATENATE("R",'Mapa final'!$A$23),"")</f>
        <v/>
      </c>
      <c r="M14" s="236"/>
      <c r="N14" s="235" t="str">
        <f>IF(AND('Mapa final'!$H$30="Alta",'Mapa final'!$L$30="Leve"),CONCATENATE("R",'Mapa final'!$A$30),"")</f>
        <v/>
      </c>
      <c r="O14" s="238"/>
      <c r="P14" s="250" t="str">
        <f>IF(AND('Mapa final'!$H$16="Alta",'Mapa final'!$L$16="Menor"),CONCATENATE("R",'Mapa final'!$A$16),"")</f>
        <v>R1</v>
      </c>
      <c r="Q14" s="236"/>
      <c r="R14" s="235" t="str">
        <f>IF(AND('Mapa final'!$H$23="Alta",'Mapa final'!$L$23="Menor"),CONCATENATE("R",'Mapa final'!$A$23),"")</f>
        <v>R2</v>
      </c>
      <c r="S14" s="236"/>
      <c r="T14" s="235" t="str">
        <f>IF(AND('Mapa final'!$H$30="Alta",'Mapa final'!$L$30="Menor"),CONCATENATE("R",'Mapa final'!$A$30),"")</f>
        <v/>
      </c>
      <c r="U14" s="238"/>
      <c r="V14" s="239" t="str">
        <f>IF(AND('Mapa final'!$H$16="Alta",'Mapa final'!$L$16="Moderado"),CONCATENATE("R",'Mapa final'!$A$16),"")</f>
        <v/>
      </c>
      <c r="W14" s="236"/>
      <c r="X14" s="241" t="str">
        <f>IF(AND('Mapa final'!$H$23="Alta",'Mapa final'!$L$23="Moderado"),CONCATENATE("R",'Mapa final'!$A$23),"")</f>
        <v/>
      </c>
      <c r="Y14" s="236"/>
      <c r="Z14" s="241" t="str">
        <f>IF(AND('Mapa final'!$H$30="Alta",'Mapa final'!$L$30="Moderado"),CONCATENATE("R",'Mapa final'!$A$30),"")</f>
        <v/>
      </c>
      <c r="AA14" s="238"/>
      <c r="AB14" s="239" t="str">
        <f>IF(AND('Mapa final'!$H$16="Alta",'Mapa final'!$L$16="Mayor"),CONCATENATE("R",'Mapa final'!$A$16),"")</f>
        <v/>
      </c>
      <c r="AC14" s="236"/>
      <c r="AD14" s="241" t="str">
        <f>IF(AND('Mapa final'!$H$23="Alta",'Mapa final'!$L$23="Mayor"),CONCATENATE("R",'Mapa final'!$A$23),"")</f>
        <v/>
      </c>
      <c r="AE14" s="236"/>
      <c r="AF14" s="241" t="str">
        <f>IF(AND('Mapa final'!$H$30="Alta",'Mapa final'!$L$30="Mayor"),CONCATENATE("R",'Mapa final'!$A$30),"")</f>
        <v/>
      </c>
      <c r="AG14" s="238"/>
      <c r="AH14" s="258" t="str">
        <f>IF(AND('Mapa final'!$H$16="Alta",'Mapa final'!$L$16="Catastrófico"),CONCATENATE("R",'Mapa final'!$A$16),"")</f>
        <v/>
      </c>
      <c r="AI14" s="236"/>
      <c r="AJ14" s="242" t="str">
        <f>IF(AND('Mapa final'!$H$23="Alta",'Mapa final'!$L$23="Catastrófico"),CONCATENATE("R",'Mapa final'!$A$23),"")</f>
        <v/>
      </c>
      <c r="AK14" s="236"/>
      <c r="AL14" s="242" t="str">
        <f>IF(AND('Mapa final'!$H$30="Alta",'Mapa final'!$L$30="Catastrófico"),CONCATENATE("R",'Mapa final'!$A$30),"")</f>
        <v/>
      </c>
      <c r="AM14" s="238"/>
      <c r="AN14" s="1"/>
      <c r="AO14" s="278" t="s">
        <v>98</v>
      </c>
      <c r="AP14" s="270"/>
      <c r="AQ14" s="270"/>
      <c r="AR14" s="270"/>
      <c r="AS14" s="270"/>
      <c r="AT14" s="271"/>
    </row>
    <row r="15" spans="2:46" ht="15" customHeight="1" x14ac:dyDescent="0.25">
      <c r="B15" s="263"/>
      <c r="C15" s="218"/>
      <c r="D15" s="219"/>
      <c r="E15" s="230"/>
      <c r="F15" s="218"/>
      <c r="G15" s="218"/>
      <c r="H15" s="218"/>
      <c r="I15" s="218"/>
      <c r="J15" s="240"/>
      <c r="K15" s="237"/>
      <c r="L15" s="233"/>
      <c r="M15" s="237"/>
      <c r="N15" s="233"/>
      <c r="O15" s="234"/>
      <c r="P15" s="240"/>
      <c r="Q15" s="237"/>
      <c r="R15" s="233"/>
      <c r="S15" s="237"/>
      <c r="T15" s="233"/>
      <c r="U15" s="234"/>
      <c r="V15" s="240"/>
      <c r="W15" s="237"/>
      <c r="X15" s="233"/>
      <c r="Y15" s="237"/>
      <c r="Z15" s="233"/>
      <c r="AA15" s="234"/>
      <c r="AB15" s="240"/>
      <c r="AC15" s="237"/>
      <c r="AD15" s="233"/>
      <c r="AE15" s="237"/>
      <c r="AF15" s="233"/>
      <c r="AG15" s="234"/>
      <c r="AH15" s="240"/>
      <c r="AI15" s="237"/>
      <c r="AJ15" s="233"/>
      <c r="AK15" s="237"/>
      <c r="AL15" s="233"/>
      <c r="AM15" s="234"/>
      <c r="AN15" s="1"/>
      <c r="AO15" s="272"/>
      <c r="AP15" s="218"/>
      <c r="AQ15" s="218"/>
      <c r="AR15" s="218"/>
      <c r="AS15" s="218"/>
      <c r="AT15" s="273"/>
    </row>
    <row r="16" spans="2:46" ht="15" customHeight="1" x14ac:dyDescent="0.25">
      <c r="B16" s="263"/>
      <c r="C16" s="218"/>
      <c r="D16" s="219"/>
      <c r="E16" s="230"/>
      <c r="F16" s="218"/>
      <c r="G16" s="218"/>
      <c r="H16" s="218"/>
      <c r="I16" s="218"/>
      <c r="J16" s="245" t="str">
        <f>IF(AND('Mapa final'!$H$37="Alta",'Mapa final'!$L$37="Leve"),CONCATENATE("R",'Mapa final'!$A$37),"")</f>
        <v/>
      </c>
      <c r="K16" s="244"/>
      <c r="L16" s="231" t="str">
        <f>IF(AND('Mapa final'!$H$44="Alta",'Mapa final'!$L$44="Leve"),CONCATENATE("R",'Mapa final'!$A$44),"")</f>
        <v/>
      </c>
      <c r="M16" s="244"/>
      <c r="N16" s="231" t="str">
        <f>IF(AND('Mapa final'!$H$51="Alta",'Mapa final'!$L$51="Leve"),CONCATENATE("R",'Mapa final'!$A$51),"")</f>
        <v/>
      </c>
      <c r="O16" s="232"/>
      <c r="P16" s="245" t="str">
        <f>IF(AND('Mapa final'!$H$37="Alta",'Mapa final'!$L$37="Menor"),CONCATENATE("R",'Mapa final'!$A$37),"")</f>
        <v>R4</v>
      </c>
      <c r="Q16" s="244"/>
      <c r="R16" s="231" t="str">
        <f>IF(AND('Mapa final'!$H$44="Alta",'Mapa final'!$L$44="Menor"),CONCATENATE("R",'Mapa final'!$A$44),"")</f>
        <v/>
      </c>
      <c r="S16" s="244"/>
      <c r="T16" s="231" t="str">
        <f>IF(AND('Mapa final'!$H$51="Alta",'Mapa final'!$L$51="Menor"),CONCATENATE("R",'Mapa final'!$A$51),"")</f>
        <v/>
      </c>
      <c r="U16" s="232"/>
      <c r="V16" s="246" t="str">
        <f>IF(AND('Mapa final'!$H$37="Alta",'Mapa final'!$L$37="Moderado"),CONCATENATE("R",'Mapa final'!$A$37),"")</f>
        <v/>
      </c>
      <c r="W16" s="244"/>
      <c r="X16" s="247" t="str">
        <f>IF(AND('Mapa final'!$H$44="Alta",'Mapa final'!$L$44="Moderado"),CONCATENATE("R",'Mapa final'!$A$44),"")</f>
        <v/>
      </c>
      <c r="Y16" s="244"/>
      <c r="Z16" s="247" t="str">
        <f>IF(AND('Mapa final'!$H$51="Alta",'Mapa final'!$L$51="Moderado"),CONCATENATE("R",'Mapa final'!$A$51),"")</f>
        <v/>
      </c>
      <c r="AA16" s="232"/>
      <c r="AB16" s="246" t="str">
        <f>IF(AND('Mapa final'!$H$37="Alta",'Mapa final'!$L$37="Mayor"),CONCATENATE("R",'Mapa final'!$A$37),"")</f>
        <v/>
      </c>
      <c r="AC16" s="244"/>
      <c r="AD16" s="247" t="str">
        <f>IF(AND('Mapa final'!$H$44="Alta",'Mapa final'!$L$44="Mayor"),CONCATENATE("R",'Mapa final'!$A$44),"")</f>
        <v/>
      </c>
      <c r="AE16" s="244"/>
      <c r="AF16" s="247" t="str">
        <f>IF(AND('Mapa final'!$H$51="Alta",'Mapa final'!$L$51="Mayor"),CONCATENATE("R",'Mapa final'!$A$51),"")</f>
        <v/>
      </c>
      <c r="AG16" s="232"/>
      <c r="AH16" s="248" t="str">
        <f>IF(AND('Mapa final'!$H$37="Alta",'Mapa final'!$L$37="Catastrófico"),CONCATENATE("R",'Mapa final'!$A$37),"")</f>
        <v/>
      </c>
      <c r="AI16" s="244"/>
      <c r="AJ16" s="249" t="str">
        <f>IF(AND('Mapa final'!$H$44="Alta",'Mapa final'!$L$44="Catastrófico"),CONCATENATE("R",'Mapa final'!$A$44),"")</f>
        <v/>
      </c>
      <c r="AK16" s="244"/>
      <c r="AL16" s="249" t="str">
        <f>IF(AND('Mapa final'!$H$51="Alta",'Mapa final'!$L$51="Catastrófico"),CONCATENATE("R",'Mapa final'!$A$51),"")</f>
        <v/>
      </c>
      <c r="AM16" s="232"/>
      <c r="AN16" s="1"/>
      <c r="AO16" s="272"/>
      <c r="AP16" s="218"/>
      <c r="AQ16" s="218"/>
      <c r="AR16" s="218"/>
      <c r="AS16" s="218"/>
      <c r="AT16" s="273"/>
    </row>
    <row r="17" spans="2:46" ht="15" customHeight="1" x14ac:dyDescent="0.25">
      <c r="B17" s="263"/>
      <c r="C17" s="218"/>
      <c r="D17" s="219"/>
      <c r="E17" s="230"/>
      <c r="F17" s="218"/>
      <c r="G17" s="218"/>
      <c r="H17" s="218"/>
      <c r="I17" s="218"/>
      <c r="J17" s="240"/>
      <c r="K17" s="237"/>
      <c r="L17" s="233"/>
      <c r="M17" s="237"/>
      <c r="N17" s="233"/>
      <c r="O17" s="234"/>
      <c r="P17" s="240"/>
      <c r="Q17" s="237"/>
      <c r="R17" s="233"/>
      <c r="S17" s="237"/>
      <c r="T17" s="233"/>
      <c r="U17" s="234"/>
      <c r="V17" s="240"/>
      <c r="W17" s="237"/>
      <c r="X17" s="233"/>
      <c r="Y17" s="237"/>
      <c r="Z17" s="233"/>
      <c r="AA17" s="234"/>
      <c r="AB17" s="240"/>
      <c r="AC17" s="237"/>
      <c r="AD17" s="233"/>
      <c r="AE17" s="237"/>
      <c r="AF17" s="233"/>
      <c r="AG17" s="234"/>
      <c r="AH17" s="240"/>
      <c r="AI17" s="237"/>
      <c r="AJ17" s="233"/>
      <c r="AK17" s="237"/>
      <c r="AL17" s="233"/>
      <c r="AM17" s="234"/>
      <c r="AN17" s="1"/>
      <c r="AO17" s="272"/>
      <c r="AP17" s="218"/>
      <c r="AQ17" s="218"/>
      <c r="AR17" s="218"/>
      <c r="AS17" s="218"/>
      <c r="AT17" s="273"/>
    </row>
    <row r="18" spans="2:46" ht="15" customHeight="1" x14ac:dyDescent="0.25">
      <c r="B18" s="263"/>
      <c r="C18" s="218"/>
      <c r="D18" s="219"/>
      <c r="E18" s="230"/>
      <c r="F18" s="218"/>
      <c r="G18" s="218"/>
      <c r="H18" s="218"/>
      <c r="I18" s="218"/>
      <c r="J18" s="245" t="e">
        <f>IF(AND('Mapa final'!#REF!="Alta",'Mapa final'!#REF!="Leve"),CONCATENATE("R",'Mapa final'!#REF!),"")</f>
        <v>#REF!</v>
      </c>
      <c r="K18" s="244"/>
      <c r="L18" s="231" t="e">
        <f>IF(AND('Mapa final'!#REF!="Alta",'Mapa final'!#REF!="Leve"),CONCATENATE("R",'Mapa final'!#REF!),"")</f>
        <v>#REF!</v>
      </c>
      <c r="M18" s="244"/>
      <c r="N18" s="231" t="e">
        <f>IF(AND('Mapa final'!#REF!="Alta",'Mapa final'!#REF!="Leve"),CONCATENATE("R",'Mapa final'!#REF!),"")</f>
        <v>#REF!</v>
      </c>
      <c r="O18" s="232"/>
      <c r="P18" s="245" t="e">
        <f>IF(AND('Mapa final'!#REF!="Alta",'Mapa final'!#REF!="Menor"),CONCATENATE("R",'Mapa final'!#REF!),"")</f>
        <v>#REF!</v>
      </c>
      <c r="Q18" s="244"/>
      <c r="R18" s="231" t="e">
        <f>IF(AND('Mapa final'!#REF!="Alta",'Mapa final'!#REF!="Menor"),CONCATENATE("R",'Mapa final'!#REF!),"")</f>
        <v>#REF!</v>
      </c>
      <c r="S18" s="244"/>
      <c r="T18" s="231" t="e">
        <f>IF(AND('Mapa final'!#REF!="Alta",'Mapa final'!#REF!="Menor"),CONCATENATE("R",'Mapa final'!#REF!),"")</f>
        <v>#REF!</v>
      </c>
      <c r="U18" s="232"/>
      <c r="V18" s="246" t="e">
        <f>IF(AND('Mapa final'!#REF!="Alta",'Mapa final'!#REF!="Moderado"),CONCATENATE("R",'Mapa final'!#REF!),"")</f>
        <v>#REF!</v>
      </c>
      <c r="W18" s="244"/>
      <c r="X18" s="247" t="e">
        <f>IF(AND('Mapa final'!#REF!="Alta",'Mapa final'!#REF!="Moderado"),CONCATENATE("R",'Mapa final'!#REF!),"")</f>
        <v>#REF!</v>
      </c>
      <c r="Y18" s="244"/>
      <c r="Z18" s="247" t="e">
        <f>IF(AND('Mapa final'!#REF!="Alta",'Mapa final'!#REF!="Moderado"),CONCATENATE("R",'Mapa final'!#REF!),"")</f>
        <v>#REF!</v>
      </c>
      <c r="AA18" s="232"/>
      <c r="AB18" s="246" t="e">
        <f>IF(AND('Mapa final'!#REF!="Alta",'Mapa final'!#REF!="Mayor"),CONCATENATE("R",'Mapa final'!#REF!),"")</f>
        <v>#REF!</v>
      </c>
      <c r="AC18" s="244"/>
      <c r="AD18" s="247" t="e">
        <f>IF(AND('Mapa final'!#REF!="Alta",'Mapa final'!#REF!="Mayor"),CONCATENATE("R",'Mapa final'!#REF!),"")</f>
        <v>#REF!</v>
      </c>
      <c r="AE18" s="244"/>
      <c r="AF18" s="247" t="e">
        <f>IF(AND('Mapa final'!#REF!="Alta",'Mapa final'!#REF!="Mayor"),CONCATENATE("R",'Mapa final'!#REF!),"")</f>
        <v>#REF!</v>
      </c>
      <c r="AG18" s="232"/>
      <c r="AH18" s="248" t="e">
        <f>IF(AND('Mapa final'!#REF!="Alta",'Mapa final'!#REF!="Catastrófico"),CONCATENATE("R",'Mapa final'!#REF!),"")</f>
        <v>#REF!</v>
      </c>
      <c r="AI18" s="244"/>
      <c r="AJ18" s="249" t="e">
        <f>IF(AND('Mapa final'!#REF!="Alta",'Mapa final'!#REF!="Catastrófico"),CONCATENATE("R",'Mapa final'!#REF!),"")</f>
        <v>#REF!</v>
      </c>
      <c r="AK18" s="244"/>
      <c r="AL18" s="249" t="e">
        <f>IF(AND('Mapa final'!#REF!="Alta",'Mapa final'!#REF!="Catastrófico"),CONCATENATE("R",'Mapa final'!#REF!),"")</f>
        <v>#REF!</v>
      </c>
      <c r="AM18" s="232"/>
      <c r="AN18" s="1"/>
      <c r="AO18" s="272"/>
      <c r="AP18" s="218"/>
      <c r="AQ18" s="218"/>
      <c r="AR18" s="218"/>
      <c r="AS18" s="218"/>
      <c r="AT18" s="273"/>
    </row>
    <row r="19" spans="2:46" ht="15" customHeight="1" x14ac:dyDescent="0.25">
      <c r="B19" s="263"/>
      <c r="C19" s="218"/>
      <c r="D19" s="219"/>
      <c r="E19" s="230"/>
      <c r="F19" s="218"/>
      <c r="G19" s="218"/>
      <c r="H19" s="218"/>
      <c r="I19" s="218"/>
      <c r="J19" s="240"/>
      <c r="K19" s="237"/>
      <c r="L19" s="233"/>
      <c r="M19" s="237"/>
      <c r="N19" s="233"/>
      <c r="O19" s="234"/>
      <c r="P19" s="240"/>
      <c r="Q19" s="237"/>
      <c r="R19" s="233"/>
      <c r="S19" s="237"/>
      <c r="T19" s="233"/>
      <c r="U19" s="234"/>
      <c r="V19" s="240"/>
      <c r="W19" s="237"/>
      <c r="X19" s="233"/>
      <c r="Y19" s="237"/>
      <c r="Z19" s="233"/>
      <c r="AA19" s="234"/>
      <c r="AB19" s="240"/>
      <c r="AC19" s="237"/>
      <c r="AD19" s="233"/>
      <c r="AE19" s="237"/>
      <c r="AF19" s="233"/>
      <c r="AG19" s="234"/>
      <c r="AH19" s="240"/>
      <c r="AI19" s="237"/>
      <c r="AJ19" s="233"/>
      <c r="AK19" s="237"/>
      <c r="AL19" s="233"/>
      <c r="AM19" s="234"/>
      <c r="AN19" s="1"/>
      <c r="AO19" s="272"/>
      <c r="AP19" s="218"/>
      <c r="AQ19" s="218"/>
      <c r="AR19" s="218"/>
      <c r="AS19" s="218"/>
      <c r="AT19" s="273"/>
    </row>
    <row r="20" spans="2:46" ht="15" customHeight="1" x14ac:dyDescent="0.25">
      <c r="B20" s="263"/>
      <c r="C20" s="218"/>
      <c r="D20" s="219"/>
      <c r="E20" s="230"/>
      <c r="F20" s="218"/>
      <c r="G20" s="218"/>
      <c r="H20" s="218"/>
      <c r="I20" s="218"/>
      <c r="J20" s="245" t="e">
        <f>IF(AND('Mapa final'!#REF!="Alta",'Mapa final'!#REF!="Leve"),CONCATENATE("R",'Mapa final'!#REF!),"")</f>
        <v>#REF!</v>
      </c>
      <c r="K20" s="244"/>
      <c r="L20" s="231" t="e">
        <f>IF(AND('Mapa final'!#REF!="Alta",'Mapa final'!#REF!="Leve"),CONCATENATE("R",'Mapa final'!#REF!),"")</f>
        <v>#REF!</v>
      </c>
      <c r="M20" s="244"/>
      <c r="N20" s="231" t="str">
        <f>IF(AND('Mapa final'!$H$134="Alta",'Mapa final'!$L$134="Leve"),CONCATENATE("R",'Mapa final'!$A$134),"")</f>
        <v/>
      </c>
      <c r="O20" s="232"/>
      <c r="P20" s="245" t="e">
        <f>IF(AND('Mapa final'!#REF!="Alta",'Mapa final'!#REF!="Menor"),CONCATENATE("R",'Mapa final'!#REF!),"")</f>
        <v>#REF!</v>
      </c>
      <c r="Q20" s="244"/>
      <c r="R20" s="231" t="e">
        <f>IF(AND('Mapa final'!#REF!="Alta",'Mapa final'!#REF!="Menor"),CONCATENATE("R",'Mapa final'!#REF!),"")</f>
        <v>#REF!</v>
      </c>
      <c r="S20" s="244"/>
      <c r="T20" s="231" t="str">
        <f>IF(AND('Mapa final'!$H$134="Alta",'Mapa final'!$L$134="Menor"),CONCATENATE("R",'Mapa final'!$A$134),"")</f>
        <v/>
      </c>
      <c r="U20" s="232"/>
      <c r="V20" s="246" t="e">
        <f>IF(AND('Mapa final'!#REF!="Alta",'Mapa final'!#REF!="Moderado"),CONCATENATE("R",'Mapa final'!#REF!),"")</f>
        <v>#REF!</v>
      </c>
      <c r="W20" s="244"/>
      <c r="X20" s="247" t="e">
        <f>IF(AND('Mapa final'!#REF!="Alta",'Mapa final'!#REF!="Moderado"),CONCATENATE("R",'Mapa final'!#REF!),"")</f>
        <v>#REF!</v>
      </c>
      <c r="Y20" s="244"/>
      <c r="Z20" s="247" t="str">
        <f>IF(AND('Mapa final'!$H$134="Alta",'Mapa final'!$L$134="Moderado"),CONCATENATE("R",'Mapa final'!$A$134),"")</f>
        <v/>
      </c>
      <c r="AA20" s="232"/>
      <c r="AB20" s="246" t="e">
        <f>IF(AND('Mapa final'!#REF!="Alta",'Mapa final'!#REF!="Mayor"),CONCATENATE("R",'Mapa final'!#REF!),"")</f>
        <v>#REF!</v>
      </c>
      <c r="AC20" s="244"/>
      <c r="AD20" s="247" t="e">
        <f>IF(AND('Mapa final'!#REF!="Alta",'Mapa final'!#REF!="Mayor"),CONCATENATE("R",'Mapa final'!#REF!),"")</f>
        <v>#REF!</v>
      </c>
      <c r="AE20" s="244"/>
      <c r="AF20" s="247" t="str">
        <f>IF(AND('Mapa final'!$H$134="Alta",'Mapa final'!$L$134="Mayor"),CONCATENATE("R",'Mapa final'!$A$134),"")</f>
        <v/>
      </c>
      <c r="AG20" s="232"/>
      <c r="AH20" s="248" t="e">
        <f>IF(AND('Mapa final'!#REF!="Alta",'Mapa final'!#REF!="Catastrófico"),CONCATENATE("R",'Mapa final'!#REF!),"")</f>
        <v>#REF!</v>
      </c>
      <c r="AI20" s="244"/>
      <c r="AJ20" s="249" t="e">
        <f>IF(AND('Mapa final'!#REF!="Alta",'Mapa final'!#REF!="Catastrófico"),CONCATENATE("R",'Mapa final'!#REF!),"")</f>
        <v>#REF!</v>
      </c>
      <c r="AK20" s="244"/>
      <c r="AL20" s="249" t="str">
        <f>IF(AND('Mapa final'!$H$134="Alta",'Mapa final'!$L$134="Catastrófico"),CONCATENATE("R",'Mapa final'!$A$134),"")</f>
        <v/>
      </c>
      <c r="AM20" s="232"/>
      <c r="AN20" s="1"/>
      <c r="AO20" s="272"/>
      <c r="AP20" s="218"/>
      <c r="AQ20" s="218"/>
      <c r="AR20" s="218"/>
      <c r="AS20" s="218"/>
      <c r="AT20" s="273"/>
    </row>
    <row r="21" spans="2:46" ht="15.75" customHeight="1" x14ac:dyDescent="0.25">
      <c r="B21" s="263"/>
      <c r="C21" s="218"/>
      <c r="D21" s="219"/>
      <c r="E21" s="253"/>
      <c r="F21" s="254"/>
      <c r="G21" s="254"/>
      <c r="H21" s="254"/>
      <c r="I21" s="254"/>
      <c r="J21" s="253"/>
      <c r="K21" s="255"/>
      <c r="L21" s="256"/>
      <c r="M21" s="255"/>
      <c r="N21" s="256"/>
      <c r="O21" s="257"/>
      <c r="P21" s="253"/>
      <c r="Q21" s="255"/>
      <c r="R21" s="256"/>
      <c r="S21" s="255"/>
      <c r="T21" s="256"/>
      <c r="U21" s="257"/>
      <c r="V21" s="253"/>
      <c r="W21" s="255"/>
      <c r="X21" s="256"/>
      <c r="Y21" s="255"/>
      <c r="Z21" s="256"/>
      <c r="AA21" s="257"/>
      <c r="AB21" s="253"/>
      <c r="AC21" s="255"/>
      <c r="AD21" s="256"/>
      <c r="AE21" s="255"/>
      <c r="AF21" s="256"/>
      <c r="AG21" s="257"/>
      <c r="AH21" s="253"/>
      <c r="AI21" s="255"/>
      <c r="AJ21" s="256"/>
      <c r="AK21" s="255"/>
      <c r="AL21" s="256"/>
      <c r="AM21" s="257"/>
      <c r="AN21" s="1"/>
      <c r="AO21" s="274"/>
      <c r="AP21" s="275"/>
      <c r="AQ21" s="275"/>
      <c r="AR21" s="275"/>
      <c r="AS21" s="275"/>
      <c r="AT21" s="276"/>
    </row>
    <row r="22" spans="2:46" ht="15.75" customHeight="1" x14ac:dyDescent="0.25">
      <c r="B22" s="263"/>
      <c r="C22" s="218"/>
      <c r="D22" s="219"/>
      <c r="E22" s="251" t="s">
        <v>99</v>
      </c>
      <c r="F22" s="252"/>
      <c r="G22" s="252"/>
      <c r="H22" s="252"/>
      <c r="I22" s="238"/>
      <c r="J22" s="250" t="str">
        <f>IF(AND('Mapa final'!$H$16="Media",'Mapa final'!$L$16="Leve"),CONCATENATE("R",'Mapa final'!$A$16),"")</f>
        <v/>
      </c>
      <c r="K22" s="236"/>
      <c r="L22" s="235" t="str">
        <f>IF(AND('Mapa final'!$H$23="Media",'Mapa final'!$L$23="Leve"),CONCATENATE("R",'Mapa final'!$A$23),"")</f>
        <v/>
      </c>
      <c r="M22" s="236"/>
      <c r="N22" s="235" t="str">
        <f>IF(AND('Mapa final'!$H$30="Media",'Mapa final'!$L$30="Leve"),CONCATENATE("R",'Mapa final'!$A$30),"")</f>
        <v/>
      </c>
      <c r="O22" s="238"/>
      <c r="P22" s="250" t="str">
        <f>IF(AND('Mapa final'!$H$16="Media",'Mapa final'!$L$16="Menor"),CONCATENATE("R",'Mapa final'!$A$16),"")</f>
        <v/>
      </c>
      <c r="Q22" s="236"/>
      <c r="R22" s="235" t="str">
        <f>IF(AND('Mapa final'!$H$23="Media",'Mapa final'!$L$23="Menor"),CONCATENATE("R",'Mapa final'!$A$23),"")</f>
        <v/>
      </c>
      <c r="S22" s="236"/>
      <c r="T22" s="235" t="str">
        <f>IF(AND('Mapa final'!$H$30="Media",'Mapa final'!$L$30="Menor"),CONCATENATE("R",'Mapa final'!$A$30),"")</f>
        <v>R3</v>
      </c>
      <c r="U22" s="238"/>
      <c r="V22" s="250" t="str">
        <f>IF(AND('Mapa final'!$H$16="Media",'Mapa final'!$L$16="Moderado"),CONCATENATE("R",'Mapa final'!$A$16),"")</f>
        <v/>
      </c>
      <c r="W22" s="236"/>
      <c r="X22" s="235" t="str">
        <f>IF(AND('Mapa final'!$H$23="Media",'Mapa final'!$L$23="Moderado"),CONCATENATE("R",'Mapa final'!$A$23),"")</f>
        <v/>
      </c>
      <c r="Y22" s="236"/>
      <c r="Z22" s="235" t="str">
        <f>IF(AND('Mapa final'!$H$30="Media",'Mapa final'!$L$30="Moderado"),CONCATENATE("R",'Mapa final'!$A$30),"")</f>
        <v/>
      </c>
      <c r="AA22" s="238"/>
      <c r="AB22" s="239" t="str">
        <f>IF(AND('Mapa final'!$H$16="Media",'Mapa final'!$L$16="Mayor"),CONCATENATE("R",'Mapa final'!$A$16),"")</f>
        <v/>
      </c>
      <c r="AC22" s="236"/>
      <c r="AD22" s="241" t="str">
        <f>IF(AND('Mapa final'!$H$23="Media",'Mapa final'!$L$23="Mayor"),CONCATENATE("R",'Mapa final'!$A$23),"")</f>
        <v/>
      </c>
      <c r="AE22" s="236"/>
      <c r="AF22" s="241" t="str">
        <f>IF(AND('Mapa final'!$H$30="Media",'Mapa final'!$L$30="Mayor"),CONCATENATE("R",'Mapa final'!$A$30),"")</f>
        <v/>
      </c>
      <c r="AG22" s="238"/>
      <c r="AH22" s="258" t="str">
        <f>IF(AND('Mapa final'!$H$16="Media",'Mapa final'!$L$16="Catastrófico"),CONCATENATE("R",'Mapa final'!$A$16),"")</f>
        <v/>
      </c>
      <c r="AI22" s="236"/>
      <c r="AJ22" s="242" t="str">
        <f>IF(AND('Mapa final'!$H$23="Media",'Mapa final'!$L$23="Catastrófico"),CONCATENATE("R",'Mapa final'!$A$23),"")</f>
        <v/>
      </c>
      <c r="AK22" s="236"/>
      <c r="AL22" s="242" t="str">
        <f>IF(AND('Mapa final'!$H$30="Media",'Mapa final'!$L$30="Catastrófico"),CONCATENATE("R",'Mapa final'!$A$30),"")</f>
        <v/>
      </c>
      <c r="AM22" s="238"/>
      <c r="AN22" s="1"/>
      <c r="AO22" s="279" t="s">
        <v>100</v>
      </c>
      <c r="AP22" s="270"/>
      <c r="AQ22" s="270"/>
      <c r="AR22" s="270"/>
      <c r="AS22" s="270"/>
      <c r="AT22" s="271"/>
    </row>
    <row r="23" spans="2:46" ht="15.75" customHeight="1" x14ac:dyDescent="0.25">
      <c r="B23" s="263"/>
      <c r="C23" s="218"/>
      <c r="D23" s="219"/>
      <c r="E23" s="230"/>
      <c r="F23" s="218"/>
      <c r="G23" s="218"/>
      <c r="H23" s="218"/>
      <c r="I23" s="219"/>
      <c r="J23" s="240"/>
      <c r="K23" s="237"/>
      <c r="L23" s="233"/>
      <c r="M23" s="237"/>
      <c r="N23" s="233"/>
      <c r="O23" s="234"/>
      <c r="P23" s="240"/>
      <c r="Q23" s="237"/>
      <c r="R23" s="233"/>
      <c r="S23" s="237"/>
      <c r="T23" s="233"/>
      <c r="U23" s="234"/>
      <c r="V23" s="240"/>
      <c r="W23" s="237"/>
      <c r="X23" s="233"/>
      <c r="Y23" s="237"/>
      <c r="Z23" s="233"/>
      <c r="AA23" s="234"/>
      <c r="AB23" s="240"/>
      <c r="AC23" s="237"/>
      <c r="AD23" s="233"/>
      <c r="AE23" s="237"/>
      <c r="AF23" s="233"/>
      <c r="AG23" s="234"/>
      <c r="AH23" s="240"/>
      <c r="AI23" s="237"/>
      <c r="AJ23" s="233"/>
      <c r="AK23" s="237"/>
      <c r="AL23" s="233"/>
      <c r="AM23" s="234"/>
      <c r="AN23" s="1"/>
      <c r="AO23" s="272"/>
      <c r="AP23" s="218"/>
      <c r="AQ23" s="218"/>
      <c r="AR23" s="218"/>
      <c r="AS23" s="218"/>
      <c r="AT23" s="273"/>
    </row>
    <row r="24" spans="2:46" ht="15.75" customHeight="1" x14ac:dyDescent="0.25">
      <c r="B24" s="263"/>
      <c r="C24" s="218"/>
      <c r="D24" s="219"/>
      <c r="E24" s="230"/>
      <c r="F24" s="218"/>
      <c r="G24" s="218"/>
      <c r="H24" s="218"/>
      <c r="I24" s="219"/>
      <c r="J24" s="245" t="str">
        <f>IF(AND('Mapa final'!$H$37="Media",'Mapa final'!$L$37="Leve"),CONCATENATE("R",'Mapa final'!$A$37),"")</f>
        <v/>
      </c>
      <c r="K24" s="244"/>
      <c r="L24" s="231" t="str">
        <f>IF(AND('Mapa final'!$H$44="Media",'Mapa final'!$L$44="Leve"),CONCATENATE("R",'Mapa final'!$A$44),"")</f>
        <v/>
      </c>
      <c r="M24" s="244"/>
      <c r="N24" s="231" t="str">
        <f>IF(AND('Mapa final'!$H$51="Media",'Mapa final'!$L$51="Leve"),CONCATENATE("R",'Mapa final'!$A$51),"")</f>
        <v/>
      </c>
      <c r="O24" s="232"/>
      <c r="P24" s="245" t="str">
        <f>IF(AND('Mapa final'!$H$37="Media",'Mapa final'!$L$37="Menor"),CONCATENATE("R",'Mapa final'!$A$37),"")</f>
        <v/>
      </c>
      <c r="Q24" s="244"/>
      <c r="R24" s="231" t="str">
        <f>IF(AND('Mapa final'!$H$44="Media",'Mapa final'!$L$44="Menor"),CONCATENATE("R",'Mapa final'!$A$44),"")</f>
        <v/>
      </c>
      <c r="S24" s="244"/>
      <c r="T24" s="231" t="str">
        <f>IF(AND('Mapa final'!$H$51="Media",'Mapa final'!$L$51="Menor"),CONCATENATE("R",'Mapa final'!$A$51),"")</f>
        <v/>
      </c>
      <c r="U24" s="232"/>
      <c r="V24" s="245" t="str">
        <f>IF(AND('Mapa final'!$H$37="Media",'Mapa final'!$L$37="Moderado"),CONCATENATE("R",'Mapa final'!$A$37),"")</f>
        <v/>
      </c>
      <c r="W24" s="244"/>
      <c r="X24" s="231" t="str">
        <f>IF(AND('Mapa final'!$H$44="Media",'Mapa final'!$L$44="Moderado"),CONCATENATE("R",'Mapa final'!$A$44),"")</f>
        <v/>
      </c>
      <c r="Y24" s="244"/>
      <c r="Z24" s="231" t="str">
        <f>IF(AND('Mapa final'!$H$51="Media",'Mapa final'!$L$51="Moderado"),CONCATENATE("R",'Mapa final'!$A$51),"")</f>
        <v/>
      </c>
      <c r="AA24" s="232"/>
      <c r="AB24" s="246" t="str">
        <f>IF(AND('Mapa final'!$H$37="Media",'Mapa final'!$L$37="Mayor"),CONCATENATE("R",'Mapa final'!$A$37),"")</f>
        <v/>
      </c>
      <c r="AC24" s="244"/>
      <c r="AD24" s="247" t="str">
        <f>IF(AND('Mapa final'!$H$44="Media",'Mapa final'!$L$44="Mayor"),CONCATENATE("R",'Mapa final'!$A$44),"")</f>
        <v/>
      </c>
      <c r="AE24" s="244"/>
      <c r="AF24" s="247" t="str">
        <f>IF(AND('Mapa final'!$H$51="Media",'Mapa final'!$L$51="Mayor"),CONCATENATE("R",'Mapa final'!$A$51),"")</f>
        <v/>
      </c>
      <c r="AG24" s="232"/>
      <c r="AH24" s="248" t="str">
        <f>IF(AND('Mapa final'!$H$37="Media",'Mapa final'!$L$37="Catastrófico"),CONCATENATE("R",'Mapa final'!$A$37),"")</f>
        <v/>
      </c>
      <c r="AI24" s="244"/>
      <c r="AJ24" s="249" t="str">
        <f>IF(AND('Mapa final'!$H$44="Media",'Mapa final'!$L$44="Catastrófico"),CONCATENATE("R",'Mapa final'!$A$44),"")</f>
        <v/>
      </c>
      <c r="AK24" s="244"/>
      <c r="AL24" s="249" t="str">
        <f>IF(AND('Mapa final'!$H$51="Media",'Mapa final'!$L$51="Catastrófico"),CONCATENATE("R",'Mapa final'!$A$51),"")</f>
        <v/>
      </c>
      <c r="AM24" s="232"/>
      <c r="AN24" s="1"/>
      <c r="AO24" s="272"/>
      <c r="AP24" s="218"/>
      <c r="AQ24" s="218"/>
      <c r="AR24" s="218"/>
      <c r="AS24" s="218"/>
      <c r="AT24" s="273"/>
    </row>
    <row r="25" spans="2:46" ht="15.75" customHeight="1" x14ac:dyDescent="0.25">
      <c r="B25" s="263"/>
      <c r="C25" s="218"/>
      <c r="D25" s="219"/>
      <c r="E25" s="230"/>
      <c r="F25" s="218"/>
      <c r="G25" s="218"/>
      <c r="H25" s="218"/>
      <c r="I25" s="219"/>
      <c r="J25" s="240"/>
      <c r="K25" s="237"/>
      <c r="L25" s="233"/>
      <c r="M25" s="237"/>
      <c r="N25" s="233"/>
      <c r="O25" s="234"/>
      <c r="P25" s="240"/>
      <c r="Q25" s="237"/>
      <c r="R25" s="233"/>
      <c r="S25" s="237"/>
      <c r="T25" s="233"/>
      <c r="U25" s="234"/>
      <c r="V25" s="240"/>
      <c r="W25" s="237"/>
      <c r="X25" s="233"/>
      <c r="Y25" s="237"/>
      <c r="Z25" s="233"/>
      <c r="AA25" s="234"/>
      <c r="AB25" s="240"/>
      <c r="AC25" s="237"/>
      <c r="AD25" s="233"/>
      <c r="AE25" s="237"/>
      <c r="AF25" s="233"/>
      <c r="AG25" s="234"/>
      <c r="AH25" s="240"/>
      <c r="AI25" s="237"/>
      <c r="AJ25" s="233"/>
      <c r="AK25" s="237"/>
      <c r="AL25" s="233"/>
      <c r="AM25" s="234"/>
      <c r="AN25" s="1"/>
      <c r="AO25" s="272"/>
      <c r="AP25" s="218"/>
      <c r="AQ25" s="218"/>
      <c r="AR25" s="218"/>
      <c r="AS25" s="218"/>
      <c r="AT25" s="273"/>
    </row>
    <row r="26" spans="2:46" ht="15.75" customHeight="1" x14ac:dyDescent="0.25">
      <c r="B26" s="263"/>
      <c r="C26" s="218"/>
      <c r="D26" s="219"/>
      <c r="E26" s="230"/>
      <c r="F26" s="218"/>
      <c r="G26" s="218"/>
      <c r="H26" s="218"/>
      <c r="I26" s="219"/>
      <c r="J26" s="245" t="e">
        <f>IF(AND('Mapa final'!#REF!="Media",'Mapa final'!#REF!="Leve"),CONCATENATE("R",'Mapa final'!#REF!),"")</f>
        <v>#REF!</v>
      </c>
      <c r="K26" s="244"/>
      <c r="L26" s="231" t="e">
        <f>IF(AND('Mapa final'!#REF!="Media",'Mapa final'!#REF!="Leve"),CONCATENATE("R",'Mapa final'!#REF!),"")</f>
        <v>#REF!</v>
      </c>
      <c r="M26" s="244"/>
      <c r="N26" s="231" t="e">
        <f>IF(AND('Mapa final'!#REF!="Media",'Mapa final'!#REF!="Leve"),CONCATENATE("R",'Mapa final'!#REF!),"")</f>
        <v>#REF!</v>
      </c>
      <c r="O26" s="232"/>
      <c r="P26" s="245" t="e">
        <f>IF(AND('Mapa final'!#REF!="Media",'Mapa final'!#REF!="Menor"),CONCATENATE("R",'Mapa final'!#REF!),"")</f>
        <v>#REF!</v>
      </c>
      <c r="Q26" s="244"/>
      <c r="R26" s="231" t="e">
        <f>IF(AND('Mapa final'!#REF!="Media",'Mapa final'!#REF!="Menor"),CONCATENATE("R",'Mapa final'!#REF!),"")</f>
        <v>#REF!</v>
      </c>
      <c r="S26" s="244"/>
      <c r="T26" s="231" t="e">
        <f>IF(AND('Mapa final'!#REF!="Media",'Mapa final'!#REF!="Menor"),CONCATENATE("R",'Mapa final'!#REF!),"")</f>
        <v>#REF!</v>
      </c>
      <c r="U26" s="232"/>
      <c r="V26" s="245" t="e">
        <f>IF(AND('Mapa final'!#REF!="Media",'Mapa final'!#REF!="Moderado"),CONCATENATE("R",'Mapa final'!#REF!),"")</f>
        <v>#REF!</v>
      </c>
      <c r="W26" s="244"/>
      <c r="X26" s="231" t="e">
        <f>IF(AND('Mapa final'!#REF!="Media",'Mapa final'!#REF!="Moderado"),CONCATENATE("R",'Mapa final'!#REF!),"")</f>
        <v>#REF!</v>
      </c>
      <c r="Y26" s="244"/>
      <c r="Z26" s="231" t="e">
        <f>IF(AND('Mapa final'!#REF!="Media",'Mapa final'!#REF!="Moderado"),CONCATENATE("R",'Mapa final'!#REF!),"")</f>
        <v>#REF!</v>
      </c>
      <c r="AA26" s="232"/>
      <c r="AB26" s="246" t="e">
        <f>IF(AND('Mapa final'!#REF!="Media",'Mapa final'!#REF!="Mayor"),CONCATENATE("R",'Mapa final'!#REF!),"")</f>
        <v>#REF!</v>
      </c>
      <c r="AC26" s="244"/>
      <c r="AD26" s="247" t="e">
        <f>IF(AND('Mapa final'!#REF!="Media",'Mapa final'!#REF!="Mayor"),CONCATENATE("R",'Mapa final'!#REF!),"")</f>
        <v>#REF!</v>
      </c>
      <c r="AE26" s="244"/>
      <c r="AF26" s="247" t="e">
        <f>IF(AND('Mapa final'!#REF!="Media",'Mapa final'!#REF!="Mayor"),CONCATENATE("R",'Mapa final'!#REF!),"")</f>
        <v>#REF!</v>
      </c>
      <c r="AG26" s="232"/>
      <c r="AH26" s="248" t="e">
        <f>IF(AND('Mapa final'!#REF!="Media",'Mapa final'!#REF!="Catastrófico"),CONCATENATE("R",'Mapa final'!#REF!),"")</f>
        <v>#REF!</v>
      </c>
      <c r="AI26" s="244"/>
      <c r="AJ26" s="249" t="e">
        <f>IF(AND('Mapa final'!#REF!="Media",'Mapa final'!#REF!="Catastrófico"),CONCATENATE("R",'Mapa final'!#REF!),"")</f>
        <v>#REF!</v>
      </c>
      <c r="AK26" s="244"/>
      <c r="AL26" s="249" t="e">
        <f>IF(AND('Mapa final'!#REF!="Media",'Mapa final'!#REF!="Catastrófico"),CONCATENATE("R",'Mapa final'!#REF!),"")</f>
        <v>#REF!</v>
      </c>
      <c r="AM26" s="232"/>
      <c r="AN26" s="1"/>
      <c r="AO26" s="272"/>
      <c r="AP26" s="218"/>
      <c r="AQ26" s="218"/>
      <c r="AR26" s="218"/>
      <c r="AS26" s="218"/>
      <c r="AT26" s="273"/>
    </row>
    <row r="27" spans="2:46" ht="15.75" customHeight="1" x14ac:dyDescent="0.25">
      <c r="B27" s="263"/>
      <c r="C27" s="218"/>
      <c r="D27" s="219"/>
      <c r="E27" s="230"/>
      <c r="F27" s="218"/>
      <c r="G27" s="218"/>
      <c r="H27" s="218"/>
      <c r="I27" s="219"/>
      <c r="J27" s="240"/>
      <c r="K27" s="237"/>
      <c r="L27" s="233"/>
      <c r="M27" s="237"/>
      <c r="N27" s="233"/>
      <c r="O27" s="234"/>
      <c r="P27" s="240"/>
      <c r="Q27" s="237"/>
      <c r="R27" s="233"/>
      <c r="S27" s="237"/>
      <c r="T27" s="233"/>
      <c r="U27" s="234"/>
      <c r="V27" s="240"/>
      <c r="W27" s="237"/>
      <c r="X27" s="233"/>
      <c r="Y27" s="237"/>
      <c r="Z27" s="233"/>
      <c r="AA27" s="234"/>
      <c r="AB27" s="240"/>
      <c r="AC27" s="237"/>
      <c r="AD27" s="233"/>
      <c r="AE27" s="237"/>
      <c r="AF27" s="233"/>
      <c r="AG27" s="234"/>
      <c r="AH27" s="240"/>
      <c r="AI27" s="237"/>
      <c r="AJ27" s="233"/>
      <c r="AK27" s="237"/>
      <c r="AL27" s="233"/>
      <c r="AM27" s="234"/>
      <c r="AN27" s="1"/>
      <c r="AO27" s="272"/>
      <c r="AP27" s="218"/>
      <c r="AQ27" s="218"/>
      <c r="AR27" s="218"/>
      <c r="AS27" s="218"/>
      <c r="AT27" s="273"/>
    </row>
    <row r="28" spans="2:46" ht="15.75" customHeight="1" x14ac:dyDescent="0.25">
      <c r="B28" s="263"/>
      <c r="C28" s="218"/>
      <c r="D28" s="219"/>
      <c r="E28" s="230"/>
      <c r="F28" s="218"/>
      <c r="G28" s="218"/>
      <c r="H28" s="218"/>
      <c r="I28" s="219"/>
      <c r="J28" s="245" t="e">
        <f>IF(AND('Mapa final'!#REF!="Media",'Mapa final'!#REF!="Leve"),CONCATENATE("R",'Mapa final'!#REF!),"")</f>
        <v>#REF!</v>
      </c>
      <c r="K28" s="244"/>
      <c r="L28" s="231" t="e">
        <f>IF(AND('Mapa final'!#REF!="Media",'Mapa final'!#REF!="Leve"),CONCATENATE("R",'Mapa final'!#REF!),"")</f>
        <v>#REF!</v>
      </c>
      <c r="M28" s="244"/>
      <c r="N28" s="231" t="str">
        <f>IF(AND('Mapa final'!$H$134="Media",'Mapa final'!$L$134="Leve"),CONCATENATE("R",'Mapa final'!$A$134),"")</f>
        <v/>
      </c>
      <c r="O28" s="232"/>
      <c r="P28" s="245" t="e">
        <f>IF(AND('Mapa final'!#REF!="Media",'Mapa final'!#REF!="Menor"),CONCATENATE("R",'Mapa final'!#REF!),"")</f>
        <v>#REF!</v>
      </c>
      <c r="Q28" s="244"/>
      <c r="R28" s="231" t="e">
        <f>IF(AND('Mapa final'!#REF!="Media",'Mapa final'!#REF!="Menor"),CONCATENATE("R",'Mapa final'!#REF!),"")</f>
        <v>#REF!</v>
      </c>
      <c r="S28" s="244"/>
      <c r="T28" s="231" t="str">
        <f>IF(AND('Mapa final'!$H$134="Media",'Mapa final'!$L$134="Menor"),CONCATENATE("R",'Mapa final'!$A$134),"")</f>
        <v/>
      </c>
      <c r="U28" s="232"/>
      <c r="V28" s="245" t="e">
        <f>IF(AND('Mapa final'!#REF!="Media",'Mapa final'!#REF!="Moderado"),CONCATENATE("R",'Mapa final'!#REF!),"")</f>
        <v>#REF!</v>
      </c>
      <c r="W28" s="244"/>
      <c r="X28" s="231" t="e">
        <f>IF(AND('Mapa final'!#REF!="Media",'Mapa final'!#REF!="Moderado"),CONCATENATE("R",'Mapa final'!#REF!),"")</f>
        <v>#REF!</v>
      </c>
      <c r="Y28" s="244"/>
      <c r="Z28" s="231" t="str">
        <f>IF(AND('Mapa final'!$H$134="Media",'Mapa final'!$L$134="Moderado"),CONCATENATE("R",'Mapa final'!$A$134),"")</f>
        <v/>
      </c>
      <c r="AA28" s="232"/>
      <c r="AB28" s="246" t="e">
        <f>IF(AND('Mapa final'!#REF!="Media",'Mapa final'!#REF!="Mayor"),CONCATENATE("R",'Mapa final'!#REF!),"")</f>
        <v>#REF!</v>
      </c>
      <c r="AC28" s="244"/>
      <c r="AD28" s="247" t="e">
        <f>IF(AND('Mapa final'!#REF!="Media",'Mapa final'!#REF!="Mayor"),CONCATENATE("R",'Mapa final'!#REF!),"")</f>
        <v>#REF!</v>
      </c>
      <c r="AE28" s="244"/>
      <c r="AF28" s="247" t="str">
        <f>IF(AND('Mapa final'!$H$134="Media",'Mapa final'!$L$134="Mayor"),CONCATENATE("R",'Mapa final'!$A$134),"")</f>
        <v/>
      </c>
      <c r="AG28" s="232"/>
      <c r="AH28" s="248" t="e">
        <f>IF(AND('Mapa final'!#REF!="Media",'Mapa final'!#REF!="Catastrófico"),CONCATENATE("R",'Mapa final'!#REF!),"")</f>
        <v>#REF!</v>
      </c>
      <c r="AI28" s="244"/>
      <c r="AJ28" s="249" t="e">
        <f>IF(AND('Mapa final'!#REF!="Media",'Mapa final'!#REF!="Catastrófico"),CONCATENATE("R",'Mapa final'!#REF!),"")</f>
        <v>#REF!</v>
      </c>
      <c r="AK28" s="244"/>
      <c r="AL28" s="249" t="str">
        <f>IF(AND('Mapa final'!$H$134="Media",'Mapa final'!$L$134="Catastrófico"),CONCATENATE("R",'Mapa final'!$A$134),"")</f>
        <v/>
      </c>
      <c r="AM28" s="232"/>
      <c r="AN28" s="1"/>
      <c r="AO28" s="272"/>
      <c r="AP28" s="218"/>
      <c r="AQ28" s="218"/>
      <c r="AR28" s="218"/>
      <c r="AS28" s="218"/>
      <c r="AT28" s="273"/>
    </row>
    <row r="29" spans="2:46" ht="15.75" customHeight="1" x14ac:dyDescent="0.25">
      <c r="B29" s="263"/>
      <c r="C29" s="218"/>
      <c r="D29" s="219"/>
      <c r="E29" s="253"/>
      <c r="F29" s="254"/>
      <c r="G29" s="254"/>
      <c r="H29" s="254"/>
      <c r="I29" s="257"/>
      <c r="J29" s="240"/>
      <c r="K29" s="237"/>
      <c r="L29" s="233"/>
      <c r="M29" s="237"/>
      <c r="N29" s="233"/>
      <c r="O29" s="234"/>
      <c r="P29" s="253"/>
      <c r="Q29" s="255"/>
      <c r="R29" s="256"/>
      <c r="S29" s="255"/>
      <c r="T29" s="256"/>
      <c r="U29" s="257"/>
      <c r="V29" s="253"/>
      <c r="W29" s="255"/>
      <c r="X29" s="256"/>
      <c r="Y29" s="255"/>
      <c r="Z29" s="256"/>
      <c r="AA29" s="257"/>
      <c r="AB29" s="253"/>
      <c r="AC29" s="255"/>
      <c r="AD29" s="256"/>
      <c r="AE29" s="255"/>
      <c r="AF29" s="256"/>
      <c r="AG29" s="257"/>
      <c r="AH29" s="253"/>
      <c r="AI29" s="255"/>
      <c r="AJ29" s="256"/>
      <c r="AK29" s="255"/>
      <c r="AL29" s="256"/>
      <c r="AM29" s="257"/>
      <c r="AN29" s="1"/>
      <c r="AO29" s="274"/>
      <c r="AP29" s="275"/>
      <c r="AQ29" s="275"/>
      <c r="AR29" s="275"/>
      <c r="AS29" s="275"/>
      <c r="AT29" s="276"/>
    </row>
    <row r="30" spans="2:46" ht="15.75" customHeight="1" x14ac:dyDescent="0.25">
      <c r="B30" s="263"/>
      <c r="C30" s="218"/>
      <c r="D30" s="219"/>
      <c r="E30" s="251" t="s">
        <v>101</v>
      </c>
      <c r="F30" s="252"/>
      <c r="G30" s="252"/>
      <c r="H30" s="252"/>
      <c r="I30" s="252"/>
      <c r="J30" s="268" t="str">
        <f>IF(AND('Mapa final'!$H$16="Baja",'Mapa final'!$L$16="Leve"),CONCATENATE("R",'Mapa final'!$A$16),"")</f>
        <v/>
      </c>
      <c r="K30" s="236"/>
      <c r="L30" s="267" t="str">
        <f>IF(AND('Mapa final'!$H$23="Baja",'Mapa final'!$L$23="Leve"),CONCATENATE("R",'Mapa final'!$A$23),"")</f>
        <v/>
      </c>
      <c r="M30" s="236"/>
      <c r="N30" s="267" t="str">
        <f>IF(AND('Mapa final'!$H$30="Baja",'Mapa final'!$L$30="Leve"),CONCATENATE("R",'Mapa final'!$A$30),"")</f>
        <v/>
      </c>
      <c r="O30" s="238"/>
      <c r="P30" s="235" t="str">
        <f>IF(AND('Mapa final'!$H$16="Baja",'Mapa final'!$L$16="Menor"),CONCATENATE("R",'Mapa final'!$A$16),"")</f>
        <v/>
      </c>
      <c r="Q30" s="236"/>
      <c r="R30" s="235" t="str">
        <f>IF(AND('Mapa final'!$H$23="Baja",'Mapa final'!$L$23="Menor"),CONCATENATE("R",'Mapa final'!$A$23),"")</f>
        <v/>
      </c>
      <c r="S30" s="236"/>
      <c r="T30" s="235" t="str">
        <f>IF(AND('Mapa final'!$H$30="Baja",'Mapa final'!$L$30="Menor"),CONCATENATE("R",'Mapa final'!$A$30),"")</f>
        <v/>
      </c>
      <c r="U30" s="238"/>
      <c r="V30" s="250" t="str">
        <f>IF(AND('Mapa final'!$H$16="Baja",'Mapa final'!$L$16="Moderado"),CONCATENATE("R",'Mapa final'!$A$16),"")</f>
        <v/>
      </c>
      <c r="W30" s="236"/>
      <c r="X30" s="235" t="str">
        <f>IF(AND('Mapa final'!$H$23="Baja",'Mapa final'!$L$23="Moderado"),CONCATENATE("R",'Mapa final'!$A$23),"")</f>
        <v/>
      </c>
      <c r="Y30" s="236"/>
      <c r="Z30" s="235" t="str">
        <f>IF(AND('Mapa final'!$H$30="Baja",'Mapa final'!$L$30="Moderado"),CONCATENATE("R",'Mapa final'!$A$30),"")</f>
        <v/>
      </c>
      <c r="AA30" s="238"/>
      <c r="AB30" s="239" t="str">
        <f>IF(AND('Mapa final'!$H$16="Baja",'Mapa final'!$L$16="Mayor"),CONCATENATE("R",'Mapa final'!$A$16),"")</f>
        <v/>
      </c>
      <c r="AC30" s="236"/>
      <c r="AD30" s="241" t="str">
        <f>IF(AND('Mapa final'!$H$23="Baja",'Mapa final'!$L$23="Mayor"),CONCATENATE("R",'Mapa final'!$A$23),"")</f>
        <v/>
      </c>
      <c r="AE30" s="236"/>
      <c r="AF30" s="241" t="str">
        <f>IF(AND('Mapa final'!$H$30="Baja",'Mapa final'!$L$30="Mayor"),CONCATENATE("R",'Mapa final'!$A$30),"")</f>
        <v/>
      </c>
      <c r="AG30" s="238"/>
      <c r="AH30" s="258" t="str">
        <f>IF(AND('Mapa final'!$H$16="Baja",'Mapa final'!$L$16="Catastrófico"),CONCATENATE("R",'Mapa final'!$A$16),"")</f>
        <v/>
      </c>
      <c r="AI30" s="236"/>
      <c r="AJ30" s="242" t="str">
        <f>IF(AND('Mapa final'!$H$23="Baja",'Mapa final'!$L$23="Catastrófico"),CONCATENATE("R",'Mapa final'!$A$23),"")</f>
        <v/>
      </c>
      <c r="AK30" s="236"/>
      <c r="AL30" s="242" t="str">
        <f>IF(AND('Mapa final'!$H$30="Baja",'Mapa final'!$L$30="Catastrófico"),CONCATENATE("R",'Mapa final'!$A$30),"")</f>
        <v/>
      </c>
      <c r="AM30" s="238"/>
      <c r="AN30" s="1"/>
      <c r="AO30" s="277" t="s">
        <v>102</v>
      </c>
      <c r="AP30" s="270"/>
      <c r="AQ30" s="270"/>
      <c r="AR30" s="270"/>
      <c r="AS30" s="270"/>
      <c r="AT30" s="271"/>
    </row>
    <row r="31" spans="2:46" ht="15.75" customHeight="1" x14ac:dyDescent="0.25">
      <c r="B31" s="263"/>
      <c r="C31" s="218"/>
      <c r="D31" s="219"/>
      <c r="E31" s="230"/>
      <c r="F31" s="218"/>
      <c r="G31" s="218"/>
      <c r="H31" s="218"/>
      <c r="I31" s="218"/>
      <c r="J31" s="240"/>
      <c r="K31" s="237"/>
      <c r="L31" s="233"/>
      <c r="M31" s="237"/>
      <c r="N31" s="233"/>
      <c r="O31" s="234"/>
      <c r="P31" s="233"/>
      <c r="Q31" s="237"/>
      <c r="R31" s="233"/>
      <c r="S31" s="237"/>
      <c r="T31" s="233"/>
      <c r="U31" s="234"/>
      <c r="V31" s="240"/>
      <c r="W31" s="237"/>
      <c r="X31" s="233"/>
      <c r="Y31" s="237"/>
      <c r="Z31" s="233"/>
      <c r="AA31" s="234"/>
      <c r="AB31" s="240"/>
      <c r="AC31" s="237"/>
      <c r="AD31" s="233"/>
      <c r="AE31" s="237"/>
      <c r="AF31" s="233"/>
      <c r="AG31" s="234"/>
      <c r="AH31" s="240"/>
      <c r="AI31" s="237"/>
      <c r="AJ31" s="233"/>
      <c r="AK31" s="237"/>
      <c r="AL31" s="233"/>
      <c r="AM31" s="234"/>
      <c r="AN31" s="1"/>
      <c r="AO31" s="272"/>
      <c r="AP31" s="218"/>
      <c r="AQ31" s="218"/>
      <c r="AR31" s="218"/>
      <c r="AS31" s="218"/>
      <c r="AT31" s="273"/>
    </row>
    <row r="32" spans="2:46" ht="15.75" customHeight="1" x14ac:dyDescent="0.25">
      <c r="B32" s="263"/>
      <c r="C32" s="218"/>
      <c r="D32" s="219"/>
      <c r="E32" s="230"/>
      <c r="F32" s="218"/>
      <c r="G32" s="218"/>
      <c r="H32" s="218"/>
      <c r="I32" s="218"/>
      <c r="J32" s="259" t="str">
        <f>IF(AND('Mapa final'!$H$37="Baja",'Mapa final'!$L$37="Leve"),CONCATENATE("R",'Mapa final'!$A$37),"")</f>
        <v/>
      </c>
      <c r="K32" s="244"/>
      <c r="L32" s="243" t="str">
        <f>IF(AND('Mapa final'!$H$44="Baja",'Mapa final'!$L$44="Leve"),CONCATENATE("R",'Mapa final'!$A$44),"")</f>
        <v/>
      </c>
      <c r="M32" s="244"/>
      <c r="N32" s="243" t="str">
        <f>IF(AND('Mapa final'!$H$51="Baja",'Mapa final'!$L$51="Leve"),CONCATENATE("R",'Mapa final'!$A$51),"")</f>
        <v/>
      </c>
      <c r="O32" s="232"/>
      <c r="P32" s="231" t="str">
        <f>IF(AND('Mapa final'!$H$37="Baja",'Mapa final'!$L$37="Menor"),CONCATENATE("R",'Mapa final'!$A$37),"")</f>
        <v/>
      </c>
      <c r="Q32" s="244"/>
      <c r="R32" s="231" t="str">
        <f>IF(AND('Mapa final'!$H$44="Baja",'Mapa final'!$L$44="Menor"),CONCATENATE("R",'Mapa final'!$A$44),"")</f>
        <v>R5</v>
      </c>
      <c r="S32" s="244"/>
      <c r="T32" s="231" t="str">
        <f>IF(AND('Mapa final'!$H$51="Baja",'Mapa final'!$L$51="Menor"),CONCATENATE("R",'Mapa final'!$A$51),"")</f>
        <v/>
      </c>
      <c r="U32" s="232"/>
      <c r="V32" s="245" t="str">
        <f>IF(AND('Mapa final'!$H$37="Baja",'Mapa final'!$L$37="Moderado"),CONCATENATE("R",'Mapa final'!$A$37),"")</f>
        <v/>
      </c>
      <c r="W32" s="244"/>
      <c r="X32" s="231" t="str">
        <f>IF(AND('Mapa final'!$H$44="Baja",'Mapa final'!$L$44="Moderado"),CONCATENATE("R",'Mapa final'!$A$44),"")</f>
        <v/>
      </c>
      <c r="Y32" s="244"/>
      <c r="Z32" s="231" t="str">
        <f>IF(AND('Mapa final'!$H$51="Baja",'Mapa final'!$L$51="Moderado"),CONCATENATE("R",'Mapa final'!$A$51),"")</f>
        <v/>
      </c>
      <c r="AA32" s="232"/>
      <c r="AB32" s="246" t="str">
        <f>IF(AND('Mapa final'!$H$37="Baja",'Mapa final'!$L$37="Mayor"),CONCATENATE("R",'Mapa final'!$A$37),"")</f>
        <v/>
      </c>
      <c r="AC32" s="244"/>
      <c r="AD32" s="247" t="str">
        <f>IF(AND('Mapa final'!$H$44="Baja",'Mapa final'!$L$44="Mayor"),CONCATENATE("R",'Mapa final'!$A$44),"")</f>
        <v/>
      </c>
      <c r="AE32" s="244"/>
      <c r="AF32" s="247" t="str">
        <f>IF(AND('Mapa final'!$H$51="Baja",'Mapa final'!$L$51="Mayor"),CONCATENATE("R",'Mapa final'!$A$51),"")</f>
        <v/>
      </c>
      <c r="AG32" s="232"/>
      <c r="AH32" s="248" t="str">
        <f>IF(AND('Mapa final'!$H$37="Baja",'Mapa final'!$L$37="Catastrófico"),CONCATENATE("R",'Mapa final'!$A$37),"")</f>
        <v/>
      </c>
      <c r="AI32" s="244"/>
      <c r="AJ32" s="249" t="str">
        <f>IF(AND('Mapa final'!$H$44="Baja",'Mapa final'!$L$44="Catastrófico"),CONCATENATE("R",'Mapa final'!$A$44),"")</f>
        <v/>
      </c>
      <c r="AK32" s="244"/>
      <c r="AL32" s="249" t="str">
        <f>IF(AND('Mapa final'!$H$51="Baja",'Mapa final'!$L$51="Catastrófico"),CONCATENATE("R",'Mapa final'!$A$51),"")</f>
        <v/>
      </c>
      <c r="AM32" s="232"/>
      <c r="AN32" s="1"/>
      <c r="AO32" s="272"/>
      <c r="AP32" s="218"/>
      <c r="AQ32" s="218"/>
      <c r="AR32" s="218"/>
      <c r="AS32" s="218"/>
      <c r="AT32" s="273"/>
    </row>
    <row r="33" spans="2:46" ht="15.75" customHeight="1" x14ac:dyDescent="0.25">
      <c r="B33" s="263"/>
      <c r="C33" s="218"/>
      <c r="D33" s="219"/>
      <c r="E33" s="230"/>
      <c r="F33" s="218"/>
      <c r="G33" s="218"/>
      <c r="H33" s="218"/>
      <c r="I33" s="218"/>
      <c r="J33" s="240"/>
      <c r="K33" s="237"/>
      <c r="L33" s="233"/>
      <c r="M33" s="237"/>
      <c r="N33" s="233"/>
      <c r="O33" s="234"/>
      <c r="P33" s="233"/>
      <c r="Q33" s="237"/>
      <c r="R33" s="233"/>
      <c r="S33" s="237"/>
      <c r="T33" s="233"/>
      <c r="U33" s="234"/>
      <c r="V33" s="240"/>
      <c r="W33" s="237"/>
      <c r="X33" s="233"/>
      <c r="Y33" s="237"/>
      <c r="Z33" s="233"/>
      <c r="AA33" s="234"/>
      <c r="AB33" s="240"/>
      <c r="AC33" s="237"/>
      <c r="AD33" s="233"/>
      <c r="AE33" s="237"/>
      <c r="AF33" s="233"/>
      <c r="AG33" s="234"/>
      <c r="AH33" s="240"/>
      <c r="AI33" s="237"/>
      <c r="AJ33" s="233"/>
      <c r="AK33" s="237"/>
      <c r="AL33" s="233"/>
      <c r="AM33" s="234"/>
      <c r="AN33" s="1"/>
      <c r="AO33" s="272"/>
      <c r="AP33" s="218"/>
      <c r="AQ33" s="218"/>
      <c r="AR33" s="218"/>
      <c r="AS33" s="218"/>
      <c r="AT33" s="273"/>
    </row>
    <row r="34" spans="2:46" ht="15.75" customHeight="1" x14ac:dyDescent="0.25">
      <c r="B34" s="263"/>
      <c r="C34" s="218"/>
      <c r="D34" s="219"/>
      <c r="E34" s="230"/>
      <c r="F34" s="218"/>
      <c r="G34" s="218"/>
      <c r="H34" s="218"/>
      <c r="I34" s="218"/>
      <c r="J34" s="259" t="e">
        <f>IF(AND('Mapa final'!#REF!="Baja",'Mapa final'!#REF!="Leve"),CONCATENATE("R",'Mapa final'!#REF!),"")</f>
        <v>#REF!</v>
      </c>
      <c r="K34" s="244"/>
      <c r="L34" s="243" t="e">
        <f>IF(AND('Mapa final'!#REF!="Baja",'Mapa final'!#REF!="Leve"),CONCATENATE("R",'Mapa final'!#REF!),"")</f>
        <v>#REF!</v>
      </c>
      <c r="M34" s="244"/>
      <c r="N34" s="243" t="e">
        <f>IF(AND('Mapa final'!#REF!="Baja",'Mapa final'!#REF!="Leve"),CONCATENATE("R",'Mapa final'!#REF!),"")</f>
        <v>#REF!</v>
      </c>
      <c r="O34" s="232"/>
      <c r="P34" s="231" t="e">
        <f>IF(AND('Mapa final'!#REF!="Baja",'Mapa final'!#REF!="Menor"),CONCATENATE("R",'Mapa final'!#REF!),"")</f>
        <v>#REF!</v>
      </c>
      <c r="Q34" s="244"/>
      <c r="R34" s="231" t="e">
        <f>IF(AND('Mapa final'!#REF!="Baja",'Mapa final'!#REF!="Menor"),CONCATENATE("R",'Mapa final'!#REF!),"")</f>
        <v>#REF!</v>
      </c>
      <c r="S34" s="244"/>
      <c r="T34" s="231" t="e">
        <f>IF(AND('Mapa final'!#REF!="Baja",'Mapa final'!#REF!="Menor"),CONCATENATE("R",'Mapa final'!#REF!),"")</f>
        <v>#REF!</v>
      </c>
      <c r="U34" s="232"/>
      <c r="V34" s="245" t="e">
        <f>IF(AND('Mapa final'!#REF!="Baja",'Mapa final'!#REF!="Moderado"),CONCATENATE("R",'Mapa final'!#REF!),"")</f>
        <v>#REF!</v>
      </c>
      <c r="W34" s="244"/>
      <c r="X34" s="231" t="e">
        <f>IF(AND('Mapa final'!#REF!="Baja",'Mapa final'!#REF!="Moderado"),CONCATENATE("R",'Mapa final'!#REF!),"")</f>
        <v>#REF!</v>
      </c>
      <c r="Y34" s="244"/>
      <c r="Z34" s="231" t="e">
        <f>IF(AND('Mapa final'!#REF!="Baja",'Mapa final'!#REF!="Moderado"),CONCATENATE("R",'Mapa final'!#REF!),"")</f>
        <v>#REF!</v>
      </c>
      <c r="AA34" s="232"/>
      <c r="AB34" s="246" t="e">
        <f>IF(AND('Mapa final'!#REF!="Baja",'Mapa final'!#REF!="Mayor"),CONCATENATE("R",'Mapa final'!#REF!),"")</f>
        <v>#REF!</v>
      </c>
      <c r="AC34" s="244"/>
      <c r="AD34" s="247" t="e">
        <f>IF(AND('Mapa final'!#REF!="Baja",'Mapa final'!#REF!="Mayor"),CONCATENATE("R",'Mapa final'!#REF!),"")</f>
        <v>#REF!</v>
      </c>
      <c r="AE34" s="244"/>
      <c r="AF34" s="247" t="e">
        <f>IF(AND('Mapa final'!#REF!="Baja",'Mapa final'!#REF!="Mayor"),CONCATENATE("R",'Mapa final'!#REF!),"")</f>
        <v>#REF!</v>
      </c>
      <c r="AG34" s="232"/>
      <c r="AH34" s="248" t="e">
        <f>IF(AND('Mapa final'!#REF!="Baja",'Mapa final'!#REF!="Catastrófico"),CONCATENATE("R",'Mapa final'!#REF!),"")</f>
        <v>#REF!</v>
      </c>
      <c r="AI34" s="244"/>
      <c r="AJ34" s="249" t="e">
        <f>IF(AND('Mapa final'!#REF!="Baja",'Mapa final'!#REF!="Catastrófico"),CONCATENATE("R",'Mapa final'!#REF!),"")</f>
        <v>#REF!</v>
      </c>
      <c r="AK34" s="244"/>
      <c r="AL34" s="249" t="e">
        <f>IF(AND('Mapa final'!#REF!="Baja",'Mapa final'!#REF!="Catastrófico"),CONCATENATE("R",'Mapa final'!#REF!),"")</f>
        <v>#REF!</v>
      </c>
      <c r="AM34" s="232"/>
      <c r="AN34" s="1"/>
      <c r="AO34" s="272"/>
      <c r="AP34" s="218"/>
      <c r="AQ34" s="218"/>
      <c r="AR34" s="218"/>
      <c r="AS34" s="218"/>
      <c r="AT34" s="273"/>
    </row>
    <row r="35" spans="2:46" ht="15.75" customHeight="1" x14ac:dyDescent="0.25">
      <c r="B35" s="263"/>
      <c r="C35" s="218"/>
      <c r="D35" s="219"/>
      <c r="E35" s="230"/>
      <c r="F35" s="218"/>
      <c r="G35" s="218"/>
      <c r="H35" s="218"/>
      <c r="I35" s="218"/>
      <c r="J35" s="240"/>
      <c r="K35" s="237"/>
      <c r="L35" s="233"/>
      <c r="M35" s="237"/>
      <c r="N35" s="233"/>
      <c r="O35" s="234"/>
      <c r="P35" s="233"/>
      <c r="Q35" s="237"/>
      <c r="R35" s="233"/>
      <c r="S35" s="237"/>
      <c r="T35" s="233"/>
      <c r="U35" s="234"/>
      <c r="V35" s="240"/>
      <c r="W35" s="237"/>
      <c r="X35" s="233"/>
      <c r="Y35" s="237"/>
      <c r="Z35" s="233"/>
      <c r="AA35" s="234"/>
      <c r="AB35" s="240"/>
      <c r="AC35" s="237"/>
      <c r="AD35" s="233"/>
      <c r="AE35" s="237"/>
      <c r="AF35" s="233"/>
      <c r="AG35" s="234"/>
      <c r="AH35" s="240"/>
      <c r="AI35" s="237"/>
      <c r="AJ35" s="233"/>
      <c r="AK35" s="237"/>
      <c r="AL35" s="233"/>
      <c r="AM35" s="234"/>
      <c r="AN35" s="1"/>
      <c r="AO35" s="272"/>
      <c r="AP35" s="218"/>
      <c r="AQ35" s="218"/>
      <c r="AR35" s="218"/>
      <c r="AS35" s="218"/>
      <c r="AT35" s="273"/>
    </row>
    <row r="36" spans="2:46" ht="15.75" customHeight="1" x14ac:dyDescent="0.25">
      <c r="B36" s="263"/>
      <c r="C36" s="218"/>
      <c r="D36" s="219"/>
      <c r="E36" s="230"/>
      <c r="F36" s="218"/>
      <c r="G36" s="218"/>
      <c r="H36" s="218"/>
      <c r="I36" s="218"/>
      <c r="J36" s="259" t="e">
        <f>IF(AND('Mapa final'!#REF!="Baja",'Mapa final'!#REF!="Leve"),CONCATENATE("R",'Mapa final'!#REF!),"")</f>
        <v>#REF!</v>
      </c>
      <c r="K36" s="244"/>
      <c r="L36" s="243" t="e">
        <f>IF(AND('Mapa final'!#REF!="Baja",'Mapa final'!#REF!="Leve"),CONCATENATE("R",'Mapa final'!#REF!),"")</f>
        <v>#REF!</v>
      </c>
      <c r="M36" s="244"/>
      <c r="N36" s="243" t="str">
        <f>IF(AND('Mapa final'!$H$134="Baja",'Mapa final'!$L$134="Leve"),CONCATENATE("R",'Mapa final'!$A$134),"")</f>
        <v/>
      </c>
      <c r="O36" s="232"/>
      <c r="P36" s="231" t="e">
        <f>IF(AND('Mapa final'!#REF!="Baja",'Mapa final'!#REF!="Menor"),CONCATENATE("R",'Mapa final'!#REF!),"")</f>
        <v>#REF!</v>
      </c>
      <c r="Q36" s="244"/>
      <c r="R36" s="231" t="e">
        <f>IF(AND('Mapa final'!#REF!="Baja",'Mapa final'!#REF!="Menor"),CONCATENATE("R",'Mapa final'!#REF!),"")</f>
        <v>#REF!</v>
      </c>
      <c r="S36" s="244"/>
      <c r="T36" s="231" t="str">
        <f>IF(AND('Mapa final'!$H$134="Baja",'Mapa final'!$L$134="Menor"),CONCATENATE("R",'Mapa final'!$A$134),"")</f>
        <v/>
      </c>
      <c r="U36" s="232"/>
      <c r="V36" s="245" t="e">
        <f>IF(AND('Mapa final'!#REF!="Baja",'Mapa final'!#REF!="Moderado"),CONCATENATE("R",'Mapa final'!#REF!),"")</f>
        <v>#REF!</v>
      </c>
      <c r="W36" s="244"/>
      <c r="X36" s="231" t="e">
        <f>IF(AND('Mapa final'!#REF!="Baja",'Mapa final'!#REF!="Moderado"),CONCATENATE("R",'Mapa final'!#REF!),"")</f>
        <v>#REF!</v>
      </c>
      <c r="Y36" s="244"/>
      <c r="Z36" s="231" t="str">
        <f>IF(AND('Mapa final'!$H$134="Baja",'Mapa final'!$L$134="Moderado"),CONCATENATE("R",'Mapa final'!$A$134),"")</f>
        <v/>
      </c>
      <c r="AA36" s="232"/>
      <c r="AB36" s="246" t="e">
        <f>IF(AND('Mapa final'!#REF!="Baja",'Mapa final'!#REF!="Mayor"),CONCATENATE("R",'Mapa final'!#REF!),"")</f>
        <v>#REF!</v>
      </c>
      <c r="AC36" s="244"/>
      <c r="AD36" s="247" t="e">
        <f>IF(AND('Mapa final'!#REF!="Baja",'Mapa final'!#REF!="Mayor"),CONCATENATE("R",'Mapa final'!#REF!),"")</f>
        <v>#REF!</v>
      </c>
      <c r="AE36" s="244"/>
      <c r="AF36" s="247" t="str">
        <f>IF(AND('Mapa final'!$H$134="Baja",'Mapa final'!$L$134="Mayor"),CONCATENATE("R",'Mapa final'!$A$134),"")</f>
        <v/>
      </c>
      <c r="AG36" s="232"/>
      <c r="AH36" s="248" t="e">
        <f>IF(AND('Mapa final'!#REF!="Baja",'Mapa final'!#REF!="Catastrófico"),CONCATENATE("R",'Mapa final'!#REF!),"")</f>
        <v>#REF!</v>
      </c>
      <c r="AI36" s="244"/>
      <c r="AJ36" s="249" t="e">
        <f>IF(AND('Mapa final'!#REF!="Baja",'Mapa final'!#REF!="Catastrófico"),CONCATENATE("R",'Mapa final'!#REF!),"")</f>
        <v>#REF!</v>
      </c>
      <c r="AK36" s="244"/>
      <c r="AL36" s="249" t="str">
        <f>IF(AND('Mapa final'!$H$134="Baja",'Mapa final'!$L$134="Catastrófico"),CONCATENATE("R",'Mapa final'!$A$134),"")</f>
        <v/>
      </c>
      <c r="AM36" s="232"/>
      <c r="AN36" s="1"/>
      <c r="AO36" s="272"/>
      <c r="AP36" s="218"/>
      <c r="AQ36" s="218"/>
      <c r="AR36" s="218"/>
      <c r="AS36" s="218"/>
      <c r="AT36" s="273"/>
    </row>
    <row r="37" spans="2:46" ht="15.75" customHeight="1" x14ac:dyDescent="0.25">
      <c r="B37" s="263"/>
      <c r="C37" s="218"/>
      <c r="D37" s="219"/>
      <c r="E37" s="253"/>
      <c r="F37" s="254"/>
      <c r="G37" s="254"/>
      <c r="H37" s="254"/>
      <c r="I37" s="254"/>
      <c r="J37" s="253"/>
      <c r="K37" s="255"/>
      <c r="L37" s="256"/>
      <c r="M37" s="255"/>
      <c r="N37" s="256"/>
      <c r="O37" s="257"/>
      <c r="P37" s="256"/>
      <c r="Q37" s="255"/>
      <c r="R37" s="256"/>
      <c r="S37" s="255"/>
      <c r="T37" s="256"/>
      <c r="U37" s="257"/>
      <c r="V37" s="253"/>
      <c r="W37" s="255"/>
      <c r="X37" s="256"/>
      <c r="Y37" s="255"/>
      <c r="Z37" s="256"/>
      <c r="AA37" s="257"/>
      <c r="AB37" s="253"/>
      <c r="AC37" s="255"/>
      <c r="AD37" s="256"/>
      <c r="AE37" s="255"/>
      <c r="AF37" s="256"/>
      <c r="AG37" s="257"/>
      <c r="AH37" s="253"/>
      <c r="AI37" s="255"/>
      <c r="AJ37" s="256"/>
      <c r="AK37" s="255"/>
      <c r="AL37" s="256"/>
      <c r="AM37" s="257"/>
      <c r="AN37" s="1"/>
      <c r="AO37" s="274"/>
      <c r="AP37" s="275"/>
      <c r="AQ37" s="275"/>
      <c r="AR37" s="275"/>
      <c r="AS37" s="275"/>
      <c r="AT37" s="276"/>
    </row>
    <row r="38" spans="2:46" ht="15.75" customHeight="1" x14ac:dyDescent="0.25">
      <c r="B38" s="263"/>
      <c r="C38" s="218"/>
      <c r="D38" s="219"/>
      <c r="E38" s="251" t="s">
        <v>103</v>
      </c>
      <c r="F38" s="252"/>
      <c r="G38" s="252"/>
      <c r="H38" s="252"/>
      <c r="I38" s="238"/>
      <c r="J38" s="268" t="str">
        <f>IF(AND('Mapa final'!$H$16="Muy Baja",'Mapa final'!$L$16="Leve"),CONCATENATE("R",'Mapa final'!$A$16),"")</f>
        <v/>
      </c>
      <c r="K38" s="236"/>
      <c r="L38" s="267" t="str">
        <f>IF(AND('Mapa final'!$H$23="Muy Baja",'Mapa final'!$L$23="Leve"),CONCATENATE("R",'Mapa final'!$A$23),"")</f>
        <v/>
      </c>
      <c r="M38" s="236"/>
      <c r="N38" s="267" t="str">
        <f>IF(AND('Mapa final'!$H$30="Muy Baja",'Mapa final'!$L$30="Leve"),CONCATENATE("R",'Mapa final'!$A$30),"")</f>
        <v/>
      </c>
      <c r="O38" s="238"/>
      <c r="P38" s="268" t="str">
        <f>IF(AND('Mapa final'!$H$16="Muy Baja",'Mapa final'!$L$16="Menor"),CONCATENATE("R",'Mapa final'!$A$16),"")</f>
        <v/>
      </c>
      <c r="Q38" s="236"/>
      <c r="R38" s="267" t="str">
        <f>IF(AND('Mapa final'!$H$23="Muy Baja",'Mapa final'!$L$23="Menor"),CONCATENATE("R",'Mapa final'!$A$23),"")</f>
        <v/>
      </c>
      <c r="S38" s="236"/>
      <c r="T38" s="267" t="str">
        <f>IF(AND('Mapa final'!$H$30="Muy Baja",'Mapa final'!$L$30="Menor"),CONCATENATE("R",'Mapa final'!$A$30),"")</f>
        <v/>
      </c>
      <c r="U38" s="238"/>
      <c r="V38" s="250" t="str">
        <f>IF(AND('Mapa final'!$H$16="Muy Baja",'Mapa final'!$L$16="Moderado"),CONCATENATE("R",'Mapa final'!$A$16),"")</f>
        <v/>
      </c>
      <c r="W38" s="236"/>
      <c r="X38" s="235" t="str">
        <f>IF(AND('Mapa final'!$H$23="Muy Baja",'Mapa final'!$L$23="Moderado"),CONCATENATE("R",'Mapa final'!$A$23),"")</f>
        <v/>
      </c>
      <c r="Y38" s="236"/>
      <c r="Z38" s="235" t="str">
        <f>IF(AND('Mapa final'!$H$30="Muy Baja",'Mapa final'!$L$30="Moderado"),CONCATENATE("R",'Mapa final'!$A$30),"")</f>
        <v/>
      </c>
      <c r="AA38" s="238"/>
      <c r="AB38" s="239" t="str">
        <f>IF(AND('Mapa final'!$H$16="Muy Baja",'Mapa final'!$L$16="Mayor"),CONCATENATE("R",'Mapa final'!$A$16),"")</f>
        <v/>
      </c>
      <c r="AC38" s="236"/>
      <c r="AD38" s="241" t="str">
        <f>IF(AND('Mapa final'!$H$23="Muy Baja",'Mapa final'!$L$23="Mayor"),CONCATENATE("R",'Mapa final'!$A$23),"")</f>
        <v/>
      </c>
      <c r="AE38" s="236"/>
      <c r="AF38" s="241" t="str">
        <f>IF(AND('Mapa final'!$H$30="Muy Baja",'Mapa final'!$L$30="Mayor"),CONCATENATE("R",'Mapa final'!$A$30),"")</f>
        <v/>
      </c>
      <c r="AG38" s="238"/>
      <c r="AH38" s="258" t="str">
        <f>IF(AND('Mapa final'!$H$16="Muy Baja",'Mapa final'!$L$16="Catastrófico"),CONCATENATE("R",'Mapa final'!$A$16),"")</f>
        <v/>
      </c>
      <c r="AI38" s="236"/>
      <c r="AJ38" s="242" t="str">
        <f>IF(AND('Mapa final'!$H$23="Muy Baja",'Mapa final'!$L$23="Catastrófico"),CONCATENATE("R",'Mapa final'!$A$23),"")</f>
        <v/>
      </c>
      <c r="AK38" s="236"/>
      <c r="AL38" s="242" t="str">
        <f>IF(AND('Mapa final'!$H$30="Muy Baja",'Mapa final'!$L$30="Catastrófico"),CONCATENATE("R",'Mapa final'!$A$30),"")</f>
        <v/>
      </c>
      <c r="AM38" s="238"/>
      <c r="AN38" s="1"/>
      <c r="AO38" s="1"/>
      <c r="AP38" s="1"/>
      <c r="AQ38" s="1"/>
      <c r="AR38" s="1"/>
      <c r="AS38" s="1"/>
      <c r="AT38" s="1"/>
    </row>
    <row r="39" spans="2:46" ht="15.75" customHeight="1" x14ac:dyDescent="0.25">
      <c r="B39" s="263"/>
      <c r="C39" s="218"/>
      <c r="D39" s="219"/>
      <c r="E39" s="230"/>
      <c r="F39" s="218"/>
      <c r="G39" s="218"/>
      <c r="H39" s="218"/>
      <c r="I39" s="219"/>
      <c r="J39" s="240"/>
      <c r="K39" s="237"/>
      <c r="L39" s="233"/>
      <c r="M39" s="237"/>
      <c r="N39" s="233"/>
      <c r="O39" s="234"/>
      <c r="P39" s="240"/>
      <c r="Q39" s="237"/>
      <c r="R39" s="233"/>
      <c r="S39" s="237"/>
      <c r="T39" s="233"/>
      <c r="U39" s="234"/>
      <c r="V39" s="240"/>
      <c r="W39" s="237"/>
      <c r="X39" s="233"/>
      <c r="Y39" s="237"/>
      <c r="Z39" s="233"/>
      <c r="AA39" s="234"/>
      <c r="AB39" s="240"/>
      <c r="AC39" s="237"/>
      <c r="AD39" s="233"/>
      <c r="AE39" s="237"/>
      <c r="AF39" s="233"/>
      <c r="AG39" s="234"/>
      <c r="AH39" s="240"/>
      <c r="AI39" s="237"/>
      <c r="AJ39" s="233"/>
      <c r="AK39" s="237"/>
      <c r="AL39" s="233"/>
      <c r="AM39" s="234"/>
      <c r="AN39" s="1"/>
      <c r="AO39" s="1"/>
      <c r="AP39" s="1"/>
      <c r="AQ39" s="1"/>
      <c r="AR39" s="1"/>
      <c r="AS39" s="1"/>
      <c r="AT39" s="1"/>
    </row>
    <row r="40" spans="2:46" ht="15.75" customHeight="1" x14ac:dyDescent="0.25">
      <c r="B40" s="263"/>
      <c r="C40" s="218"/>
      <c r="D40" s="219"/>
      <c r="E40" s="230"/>
      <c r="F40" s="218"/>
      <c r="G40" s="218"/>
      <c r="H40" s="218"/>
      <c r="I40" s="219"/>
      <c r="J40" s="259" t="str">
        <f>IF(AND('Mapa final'!$H$37="Muy Baja",'Mapa final'!$L$37="Leve"),CONCATENATE("R",'Mapa final'!$A$37),"")</f>
        <v/>
      </c>
      <c r="K40" s="244"/>
      <c r="L40" s="243" t="str">
        <f>IF(AND('Mapa final'!$H$44="Muy Baja",'Mapa final'!$L$44="Leve"),CONCATENATE("R",'Mapa final'!$A$44),"")</f>
        <v/>
      </c>
      <c r="M40" s="244"/>
      <c r="N40" s="243" t="str">
        <f>IF(AND('Mapa final'!$H$51="Muy Baja",'Mapa final'!$L$51="Leve"),CONCATENATE("R",'Mapa final'!$A$51),"")</f>
        <v/>
      </c>
      <c r="O40" s="232"/>
      <c r="P40" s="259" t="str">
        <f>IF(AND('Mapa final'!$H$37="Muy Baja",'Mapa final'!$L$37="Menor"),CONCATENATE("R",'Mapa final'!$A$37),"")</f>
        <v/>
      </c>
      <c r="Q40" s="244"/>
      <c r="R40" s="243" t="str">
        <f>IF(AND('Mapa final'!$H$44="Muy Baja",'Mapa final'!$L$44="Menor"),CONCATENATE("R",'Mapa final'!$A$44),"")</f>
        <v/>
      </c>
      <c r="S40" s="244"/>
      <c r="T40" s="243" t="str">
        <f>IF(AND('Mapa final'!$H$51="Muy Baja",'Mapa final'!$L$51="Menor"),CONCATENATE("R",'Mapa final'!$A$51),"")</f>
        <v/>
      </c>
      <c r="U40" s="232"/>
      <c r="V40" s="245" t="str">
        <f>IF(AND('Mapa final'!$H$37="Muy Baja",'Mapa final'!$L$37="Moderado"),CONCATENATE("R",'Mapa final'!$A$37),"")</f>
        <v/>
      </c>
      <c r="W40" s="244"/>
      <c r="X40" s="231" t="str">
        <f>IF(AND('Mapa final'!$H$44="Muy Baja",'Mapa final'!$L$44="Moderado"),CONCATENATE("R",'Mapa final'!$A$44),"")</f>
        <v/>
      </c>
      <c r="Y40" s="244"/>
      <c r="Z40" s="231" t="str">
        <f>IF(AND('Mapa final'!$H$51="Muy Baja",'Mapa final'!$L$51="Moderado"),CONCATENATE("R",'Mapa final'!$A$51),"")</f>
        <v/>
      </c>
      <c r="AA40" s="232"/>
      <c r="AB40" s="246" t="str">
        <f>IF(AND('Mapa final'!$H$37="Muy Baja",'Mapa final'!$L$37="Mayor"),CONCATENATE("R",'Mapa final'!$A$37),"")</f>
        <v/>
      </c>
      <c r="AC40" s="244"/>
      <c r="AD40" s="247" t="str">
        <f>IF(AND('Mapa final'!$H$44="Muy Baja",'Mapa final'!$L$44="Mayor"),CONCATENATE("R",'Mapa final'!$A$44),"")</f>
        <v/>
      </c>
      <c r="AE40" s="244"/>
      <c r="AF40" s="247" t="str">
        <f>IF(AND('Mapa final'!$H$51="Muy Baja",'Mapa final'!$L$51="Mayor"),CONCATENATE("R",'Mapa final'!$A$51),"")</f>
        <v/>
      </c>
      <c r="AG40" s="232"/>
      <c r="AH40" s="248" t="str">
        <f>IF(AND('Mapa final'!$H$37="Muy Baja",'Mapa final'!$L$37="Catastrófico"),CONCATENATE("R",'Mapa final'!$A$37),"")</f>
        <v/>
      </c>
      <c r="AI40" s="244"/>
      <c r="AJ40" s="249" t="str">
        <f>IF(AND('Mapa final'!$H$44="Muy Baja",'Mapa final'!$L$44="Catastrófico"),CONCATENATE("R",'Mapa final'!$A$44),"")</f>
        <v/>
      </c>
      <c r="AK40" s="244"/>
      <c r="AL40" s="249" t="str">
        <f>IF(AND('Mapa final'!$H$51="Muy Baja",'Mapa final'!$L$51="Catastrófico"),CONCATENATE("R",'Mapa final'!$A$51),"")</f>
        <v/>
      </c>
      <c r="AM40" s="232"/>
      <c r="AN40" s="1"/>
      <c r="AO40" s="1"/>
      <c r="AP40" s="1"/>
      <c r="AQ40" s="1"/>
      <c r="AR40" s="1"/>
      <c r="AS40" s="1"/>
      <c r="AT40" s="1"/>
    </row>
    <row r="41" spans="2:46" ht="15.75" customHeight="1" x14ac:dyDescent="0.25">
      <c r="B41" s="263"/>
      <c r="C41" s="218"/>
      <c r="D41" s="219"/>
      <c r="E41" s="230"/>
      <c r="F41" s="218"/>
      <c r="G41" s="218"/>
      <c r="H41" s="218"/>
      <c r="I41" s="219"/>
      <c r="J41" s="240"/>
      <c r="K41" s="237"/>
      <c r="L41" s="233"/>
      <c r="M41" s="237"/>
      <c r="N41" s="233"/>
      <c r="O41" s="234"/>
      <c r="P41" s="240"/>
      <c r="Q41" s="237"/>
      <c r="R41" s="233"/>
      <c r="S41" s="237"/>
      <c r="T41" s="233"/>
      <c r="U41" s="234"/>
      <c r="V41" s="240"/>
      <c r="W41" s="237"/>
      <c r="X41" s="233"/>
      <c r="Y41" s="237"/>
      <c r="Z41" s="233"/>
      <c r="AA41" s="234"/>
      <c r="AB41" s="240"/>
      <c r="AC41" s="237"/>
      <c r="AD41" s="233"/>
      <c r="AE41" s="237"/>
      <c r="AF41" s="233"/>
      <c r="AG41" s="234"/>
      <c r="AH41" s="240"/>
      <c r="AI41" s="237"/>
      <c r="AJ41" s="233"/>
      <c r="AK41" s="237"/>
      <c r="AL41" s="233"/>
      <c r="AM41" s="234"/>
      <c r="AN41" s="1"/>
      <c r="AO41" s="1"/>
      <c r="AP41" s="1"/>
      <c r="AQ41" s="1"/>
      <c r="AR41" s="1"/>
      <c r="AS41" s="1"/>
      <c r="AT41" s="1"/>
    </row>
    <row r="42" spans="2:46" ht="15.75" customHeight="1" x14ac:dyDescent="0.25">
      <c r="B42" s="263"/>
      <c r="C42" s="218"/>
      <c r="D42" s="219"/>
      <c r="E42" s="230"/>
      <c r="F42" s="218"/>
      <c r="G42" s="218"/>
      <c r="H42" s="218"/>
      <c r="I42" s="219"/>
      <c r="J42" s="259" t="e">
        <f>IF(AND('Mapa final'!#REF!="Muy Baja",'Mapa final'!#REF!="Leve"),CONCATENATE("R",'Mapa final'!#REF!),"")</f>
        <v>#REF!</v>
      </c>
      <c r="K42" s="244"/>
      <c r="L42" s="243" t="e">
        <f>IF(AND('Mapa final'!#REF!="Muy Baja",'Mapa final'!#REF!="Leve"),CONCATENATE("R",'Mapa final'!#REF!),"")</f>
        <v>#REF!</v>
      </c>
      <c r="M42" s="244"/>
      <c r="N42" s="243" t="e">
        <f>IF(AND('Mapa final'!#REF!="Muy Baja",'Mapa final'!#REF!="Leve"),CONCATENATE("R",'Mapa final'!#REF!),"")</f>
        <v>#REF!</v>
      </c>
      <c r="O42" s="232"/>
      <c r="P42" s="259" t="e">
        <f>IF(AND('Mapa final'!#REF!="Muy Baja",'Mapa final'!#REF!="Menor"),CONCATENATE("R",'Mapa final'!#REF!),"")</f>
        <v>#REF!</v>
      </c>
      <c r="Q42" s="244"/>
      <c r="R42" s="243" t="e">
        <f>IF(AND('Mapa final'!#REF!="Muy Baja",'Mapa final'!#REF!="Menor"),CONCATENATE("R",'Mapa final'!#REF!),"")</f>
        <v>#REF!</v>
      </c>
      <c r="S42" s="244"/>
      <c r="T42" s="243" t="e">
        <f>IF(AND('Mapa final'!#REF!="Muy Baja",'Mapa final'!#REF!="Menor"),CONCATENATE("R",'Mapa final'!#REF!),"")</f>
        <v>#REF!</v>
      </c>
      <c r="U42" s="232"/>
      <c r="V42" s="245" t="e">
        <f>IF(AND('Mapa final'!#REF!="Muy Baja",'Mapa final'!#REF!="Moderado"),CONCATENATE("R",'Mapa final'!#REF!),"")</f>
        <v>#REF!</v>
      </c>
      <c r="W42" s="244"/>
      <c r="X42" s="231" t="e">
        <f>IF(AND('Mapa final'!#REF!="Muy Baja",'Mapa final'!#REF!="Moderado"),CONCATENATE("R",'Mapa final'!#REF!),"")</f>
        <v>#REF!</v>
      </c>
      <c r="Y42" s="244"/>
      <c r="Z42" s="231" t="e">
        <f>IF(AND('Mapa final'!#REF!="Muy Baja",'Mapa final'!#REF!="Moderado"),CONCATENATE("R",'Mapa final'!#REF!),"")</f>
        <v>#REF!</v>
      </c>
      <c r="AA42" s="232"/>
      <c r="AB42" s="246" t="e">
        <f>IF(AND('Mapa final'!#REF!="Muy Baja",'Mapa final'!#REF!="Mayor"),CONCATENATE("R",'Mapa final'!#REF!),"")</f>
        <v>#REF!</v>
      </c>
      <c r="AC42" s="244"/>
      <c r="AD42" s="247" t="e">
        <f>IF(AND('Mapa final'!#REF!="Muy Baja",'Mapa final'!#REF!="Mayor"),CONCATENATE("R",'Mapa final'!#REF!),"")</f>
        <v>#REF!</v>
      </c>
      <c r="AE42" s="244"/>
      <c r="AF42" s="247" t="e">
        <f>IF(AND('Mapa final'!#REF!="Muy Baja",'Mapa final'!#REF!="Mayor"),CONCATENATE("R",'Mapa final'!#REF!),"")</f>
        <v>#REF!</v>
      </c>
      <c r="AG42" s="232"/>
      <c r="AH42" s="248" t="e">
        <f>IF(AND('Mapa final'!#REF!="Muy Baja",'Mapa final'!#REF!="Catastrófico"),CONCATENATE("R",'Mapa final'!#REF!),"")</f>
        <v>#REF!</v>
      </c>
      <c r="AI42" s="244"/>
      <c r="AJ42" s="249" t="e">
        <f>IF(AND('Mapa final'!#REF!="Muy Baja",'Mapa final'!#REF!="Catastrófico"),CONCATENATE("R",'Mapa final'!#REF!),"")</f>
        <v>#REF!</v>
      </c>
      <c r="AK42" s="244"/>
      <c r="AL42" s="249" t="e">
        <f>IF(AND('Mapa final'!#REF!="Muy Baja",'Mapa final'!#REF!="Catastrófico"),CONCATENATE("R",'Mapa final'!#REF!),"")</f>
        <v>#REF!</v>
      </c>
      <c r="AM42" s="232"/>
      <c r="AN42" s="1"/>
      <c r="AO42" s="1"/>
      <c r="AP42" s="1"/>
      <c r="AQ42" s="1"/>
      <c r="AR42" s="1"/>
      <c r="AS42" s="1"/>
      <c r="AT42" s="1"/>
    </row>
    <row r="43" spans="2:46" ht="15.75" customHeight="1" x14ac:dyDescent="0.25">
      <c r="B43" s="263"/>
      <c r="C43" s="218"/>
      <c r="D43" s="219"/>
      <c r="E43" s="230"/>
      <c r="F43" s="218"/>
      <c r="G43" s="218"/>
      <c r="H43" s="218"/>
      <c r="I43" s="219"/>
      <c r="J43" s="240"/>
      <c r="K43" s="237"/>
      <c r="L43" s="233"/>
      <c r="M43" s="237"/>
      <c r="N43" s="233"/>
      <c r="O43" s="234"/>
      <c r="P43" s="240"/>
      <c r="Q43" s="237"/>
      <c r="R43" s="233"/>
      <c r="S43" s="237"/>
      <c r="T43" s="233"/>
      <c r="U43" s="234"/>
      <c r="V43" s="240"/>
      <c r="W43" s="237"/>
      <c r="X43" s="233"/>
      <c r="Y43" s="237"/>
      <c r="Z43" s="233"/>
      <c r="AA43" s="234"/>
      <c r="AB43" s="240"/>
      <c r="AC43" s="237"/>
      <c r="AD43" s="233"/>
      <c r="AE43" s="237"/>
      <c r="AF43" s="233"/>
      <c r="AG43" s="234"/>
      <c r="AH43" s="240"/>
      <c r="AI43" s="237"/>
      <c r="AJ43" s="233"/>
      <c r="AK43" s="237"/>
      <c r="AL43" s="233"/>
      <c r="AM43" s="234"/>
      <c r="AN43" s="1"/>
      <c r="AO43" s="1"/>
      <c r="AP43" s="1"/>
      <c r="AQ43" s="1"/>
      <c r="AR43" s="1"/>
      <c r="AS43" s="1"/>
      <c r="AT43" s="1"/>
    </row>
    <row r="44" spans="2:46" ht="15.75" customHeight="1" x14ac:dyDescent="0.25">
      <c r="B44" s="263"/>
      <c r="C44" s="218"/>
      <c r="D44" s="219"/>
      <c r="E44" s="230"/>
      <c r="F44" s="218"/>
      <c r="G44" s="218"/>
      <c r="H44" s="218"/>
      <c r="I44" s="219"/>
      <c r="J44" s="259" t="e">
        <f>IF(AND('Mapa final'!#REF!="Muy Baja",'Mapa final'!#REF!="Leve"),CONCATENATE("R",'Mapa final'!#REF!),"")</f>
        <v>#REF!</v>
      </c>
      <c r="K44" s="244"/>
      <c r="L44" s="243" t="e">
        <f>IF(AND('Mapa final'!#REF!="Muy Baja",'Mapa final'!#REF!="Leve"),CONCATENATE("R",'Mapa final'!#REF!),"")</f>
        <v>#REF!</v>
      </c>
      <c r="M44" s="244"/>
      <c r="N44" s="243" t="str">
        <f>IF(AND('Mapa final'!$H$134="Muy Baja",'Mapa final'!$L$134="Leve"),CONCATENATE("R",'Mapa final'!$A$134),"")</f>
        <v/>
      </c>
      <c r="O44" s="232"/>
      <c r="P44" s="259" t="e">
        <f>IF(AND('Mapa final'!#REF!="Muy Baja",'Mapa final'!#REF!="Menor"),CONCATENATE("R",'Mapa final'!#REF!),"")</f>
        <v>#REF!</v>
      </c>
      <c r="Q44" s="244"/>
      <c r="R44" s="243" t="e">
        <f>IF(AND('Mapa final'!#REF!="Muy Baja",'Mapa final'!#REF!="Menor"),CONCATENATE("R",'Mapa final'!#REF!),"")</f>
        <v>#REF!</v>
      </c>
      <c r="S44" s="244"/>
      <c r="T44" s="243" t="str">
        <f>IF(AND('Mapa final'!$H$134="Muy Baja",'Mapa final'!$L$134="Menor"),CONCATENATE("R",'Mapa final'!$A$134),"")</f>
        <v/>
      </c>
      <c r="U44" s="232"/>
      <c r="V44" s="245" t="e">
        <f>IF(AND('Mapa final'!#REF!="Muy Baja",'Mapa final'!#REF!="Moderado"),CONCATENATE("R",'Mapa final'!#REF!),"")</f>
        <v>#REF!</v>
      </c>
      <c r="W44" s="244"/>
      <c r="X44" s="231" t="e">
        <f>IF(AND('Mapa final'!#REF!="Muy Baja",'Mapa final'!#REF!="Moderado"),CONCATENATE("R",'Mapa final'!#REF!),"")</f>
        <v>#REF!</v>
      </c>
      <c r="Y44" s="244"/>
      <c r="Z44" s="231" t="str">
        <f>IF(AND('Mapa final'!$H$134="Muy Baja",'Mapa final'!$L$134="Moderado"),CONCATENATE("R",'Mapa final'!$A$134),"")</f>
        <v/>
      </c>
      <c r="AA44" s="232"/>
      <c r="AB44" s="246" t="e">
        <f>IF(AND('Mapa final'!#REF!="Muy Baja",'Mapa final'!#REF!="Mayor"),CONCATENATE("R",'Mapa final'!#REF!),"")</f>
        <v>#REF!</v>
      </c>
      <c r="AC44" s="244"/>
      <c r="AD44" s="247" t="e">
        <f>IF(AND('Mapa final'!#REF!="Muy Baja",'Mapa final'!#REF!="Mayor"),CONCATENATE("R",'Mapa final'!#REF!),"")</f>
        <v>#REF!</v>
      </c>
      <c r="AE44" s="244"/>
      <c r="AF44" s="247" t="str">
        <f>IF(AND('Mapa final'!$H$134="Muy Baja",'Mapa final'!$L$134="Mayor"),CONCATENATE("R",'Mapa final'!$A$134),"")</f>
        <v/>
      </c>
      <c r="AG44" s="232"/>
      <c r="AH44" s="248" t="e">
        <f>IF(AND('Mapa final'!#REF!="Muy Baja",'Mapa final'!#REF!="Catastrófico"),CONCATENATE("R",'Mapa final'!#REF!),"")</f>
        <v>#REF!</v>
      </c>
      <c r="AI44" s="244"/>
      <c r="AJ44" s="249" t="e">
        <f>IF(AND('Mapa final'!#REF!="Muy Baja",'Mapa final'!#REF!="Catastrófico"),CONCATENATE("R",'Mapa final'!#REF!),"")</f>
        <v>#REF!</v>
      </c>
      <c r="AK44" s="244"/>
      <c r="AL44" s="249" t="str">
        <f>IF(AND('Mapa final'!$H$134="Muy Baja",'Mapa final'!$L$134="Catastrófico"),CONCATENATE("R",'Mapa final'!$A$134),"")</f>
        <v/>
      </c>
      <c r="AM44" s="232"/>
      <c r="AN44" s="1"/>
      <c r="AO44" s="1"/>
      <c r="AP44" s="1"/>
      <c r="AQ44" s="1"/>
      <c r="AR44" s="1"/>
      <c r="AS44" s="1"/>
      <c r="AT44" s="1"/>
    </row>
    <row r="45" spans="2:46" ht="15.75" customHeight="1" x14ac:dyDescent="0.25">
      <c r="B45" s="233"/>
      <c r="C45" s="265"/>
      <c r="D45" s="234"/>
      <c r="E45" s="253"/>
      <c r="F45" s="254"/>
      <c r="G45" s="254"/>
      <c r="H45" s="254"/>
      <c r="I45" s="257"/>
      <c r="J45" s="253"/>
      <c r="K45" s="255"/>
      <c r="L45" s="256"/>
      <c r="M45" s="255"/>
      <c r="N45" s="256"/>
      <c r="O45" s="257"/>
      <c r="P45" s="253"/>
      <c r="Q45" s="255"/>
      <c r="R45" s="256"/>
      <c r="S45" s="255"/>
      <c r="T45" s="256"/>
      <c r="U45" s="257"/>
      <c r="V45" s="253"/>
      <c r="W45" s="255"/>
      <c r="X45" s="256"/>
      <c r="Y45" s="255"/>
      <c r="Z45" s="256"/>
      <c r="AA45" s="257"/>
      <c r="AB45" s="253"/>
      <c r="AC45" s="255"/>
      <c r="AD45" s="256"/>
      <c r="AE45" s="255"/>
      <c r="AF45" s="256"/>
      <c r="AG45" s="257"/>
      <c r="AH45" s="253"/>
      <c r="AI45" s="255"/>
      <c r="AJ45" s="256"/>
      <c r="AK45" s="255"/>
      <c r="AL45" s="256"/>
      <c r="AM45" s="257"/>
      <c r="AN45" s="1"/>
      <c r="AO45" s="1"/>
      <c r="AP45" s="1"/>
      <c r="AQ45" s="1"/>
      <c r="AR45" s="1"/>
      <c r="AS45" s="1"/>
      <c r="AT45" s="1"/>
    </row>
    <row r="46" spans="2:46" ht="15.75" customHeight="1" x14ac:dyDescent="0.25">
      <c r="B46" s="1"/>
      <c r="C46" s="1"/>
      <c r="D46" s="1"/>
      <c r="E46" s="1"/>
      <c r="F46" s="1"/>
      <c r="G46" s="1"/>
      <c r="H46" s="1"/>
      <c r="I46" s="1"/>
      <c r="J46" s="251" t="s">
        <v>104</v>
      </c>
      <c r="K46" s="252"/>
      <c r="L46" s="252"/>
      <c r="M46" s="252"/>
      <c r="N46" s="252"/>
      <c r="O46" s="238"/>
      <c r="P46" s="251" t="s">
        <v>105</v>
      </c>
      <c r="Q46" s="252"/>
      <c r="R46" s="252"/>
      <c r="S46" s="252"/>
      <c r="T46" s="252"/>
      <c r="U46" s="238"/>
      <c r="V46" s="251" t="s">
        <v>106</v>
      </c>
      <c r="W46" s="252"/>
      <c r="X46" s="252"/>
      <c r="Y46" s="252"/>
      <c r="Z46" s="252"/>
      <c r="AA46" s="238"/>
      <c r="AB46" s="251" t="s">
        <v>107</v>
      </c>
      <c r="AC46" s="252"/>
      <c r="AD46" s="252"/>
      <c r="AE46" s="252"/>
      <c r="AF46" s="252"/>
      <c r="AG46" s="238"/>
      <c r="AH46" s="251" t="s">
        <v>108</v>
      </c>
      <c r="AI46" s="252"/>
      <c r="AJ46" s="252"/>
      <c r="AK46" s="252"/>
      <c r="AL46" s="252"/>
      <c r="AM46" s="238"/>
      <c r="AN46" s="1"/>
      <c r="AO46" s="1"/>
      <c r="AP46" s="1"/>
      <c r="AQ46" s="1"/>
      <c r="AR46" s="1"/>
      <c r="AS46" s="1"/>
      <c r="AT46" s="1"/>
    </row>
    <row r="47" spans="2:46" ht="15.75" customHeight="1" x14ac:dyDescent="0.25">
      <c r="B47" s="1"/>
      <c r="C47" s="1"/>
      <c r="D47" s="1"/>
      <c r="E47" s="1"/>
      <c r="F47" s="1"/>
      <c r="G47" s="1"/>
      <c r="H47" s="1"/>
      <c r="I47" s="1"/>
      <c r="J47" s="230"/>
      <c r="K47" s="218"/>
      <c r="L47" s="218"/>
      <c r="M47" s="218"/>
      <c r="N47" s="218"/>
      <c r="O47" s="219"/>
      <c r="P47" s="230"/>
      <c r="Q47" s="218"/>
      <c r="R47" s="218"/>
      <c r="S47" s="218"/>
      <c r="T47" s="218"/>
      <c r="U47" s="219"/>
      <c r="V47" s="230"/>
      <c r="W47" s="218"/>
      <c r="X47" s="218"/>
      <c r="Y47" s="218"/>
      <c r="Z47" s="218"/>
      <c r="AA47" s="219"/>
      <c r="AB47" s="230"/>
      <c r="AC47" s="218"/>
      <c r="AD47" s="218"/>
      <c r="AE47" s="218"/>
      <c r="AF47" s="218"/>
      <c r="AG47" s="219"/>
      <c r="AH47" s="230"/>
      <c r="AI47" s="218"/>
      <c r="AJ47" s="218"/>
      <c r="AK47" s="218"/>
      <c r="AL47" s="218"/>
      <c r="AM47" s="219"/>
      <c r="AN47" s="1"/>
      <c r="AO47" s="1"/>
      <c r="AP47" s="1"/>
      <c r="AQ47" s="1"/>
      <c r="AR47" s="1"/>
      <c r="AS47" s="1"/>
      <c r="AT47" s="1"/>
    </row>
    <row r="48" spans="2:46" ht="15.75" customHeight="1" x14ac:dyDescent="0.25">
      <c r="B48" s="1"/>
      <c r="C48" s="1"/>
      <c r="D48" s="1"/>
      <c r="E48" s="1"/>
      <c r="F48" s="1"/>
      <c r="G48" s="1"/>
      <c r="H48" s="1"/>
      <c r="I48" s="1"/>
      <c r="J48" s="230"/>
      <c r="K48" s="218"/>
      <c r="L48" s="218"/>
      <c r="M48" s="218"/>
      <c r="N48" s="218"/>
      <c r="O48" s="219"/>
      <c r="P48" s="230"/>
      <c r="Q48" s="218"/>
      <c r="R48" s="218"/>
      <c r="S48" s="218"/>
      <c r="T48" s="218"/>
      <c r="U48" s="219"/>
      <c r="V48" s="230"/>
      <c r="W48" s="218"/>
      <c r="X48" s="218"/>
      <c r="Y48" s="218"/>
      <c r="Z48" s="218"/>
      <c r="AA48" s="219"/>
      <c r="AB48" s="230"/>
      <c r="AC48" s="218"/>
      <c r="AD48" s="218"/>
      <c r="AE48" s="218"/>
      <c r="AF48" s="218"/>
      <c r="AG48" s="219"/>
      <c r="AH48" s="230"/>
      <c r="AI48" s="218"/>
      <c r="AJ48" s="218"/>
      <c r="AK48" s="218"/>
      <c r="AL48" s="218"/>
      <c r="AM48" s="219"/>
      <c r="AN48" s="1"/>
      <c r="AO48" s="1"/>
      <c r="AP48" s="1"/>
      <c r="AQ48" s="1"/>
      <c r="AR48" s="1"/>
      <c r="AS48" s="1"/>
      <c r="AT48" s="1"/>
    </row>
    <row r="49" spans="2:39" ht="15.75" customHeight="1" x14ac:dyDescent="0.25">
      <c r="B49" s="1"/>
      <c r="C49" s="1"/>
      <c r="D49" s="1"/>
      <c r="E49" s="1"/>
      <c r="F49" s="1"/>
      <c r="G49" s="1"/>
      <c r="H49" s="1"/>
      <c r="I49" s="1"/>
      <c r="J49" s="230"/>
      <c r="K49" s="218"/>
      <c r="L49" s="218"/>
      <c r="M49" s="218"/>
      <c r="N49" s="218"/>
      <c r="O49" s="219"/>
      <c r="P49" s="230"/>
      <c r="Q49" s="218"/>
      <c r="R49" s="218"/>
      <c r="S49" s="218"/>
      <c r="T49" s="218"/>
      <c r="U49" s="219"/>
      <c r="V49" s="230"/>
      <c r="W49" s="218"/>
      <c r="X49" s="218"/>
      <c r="Y49" s="218"/>
      <c r="Z49" s="218"/>
      <c r="AA49" s="219"/>
      <c r="AB49" s="230"/>
      <c r="AC49" s="218"/>
      <c r="AD49" s="218"/>
      <c r="AE49" s="218"/>
      <c r="AF49" s="218"/>
      <c r="AG49" s="219"/>
      <c r="AH49" s="230"/>
      <c r="AI49" s="218"/>
      <c r="AJ49" s="218"/>
      <c r="AK49" s="218"/>
      <c r="AL49" s="218"/>
      <c r="AM49" s="219"/>
    </row>
    <row r="50" spans="2:39" ht="15.75" customHeight="1" x14ac:dyDescent="0.25">
      <c r="B50" s="1"/>
      <c r="C50" s="1"/>
      <c r="D50" s="1"/>
      <c r="E50" s="1"/>
      <c r="F50" s="1"/>
      <c r="G50" s="1"/>
      <c r="H50" s="1"/>
      <c r="I50" s="1"/>
      <c r="J50" s="230"/>
      <c r="K50" s="218"/>
      <c r="L50" s="218"/>
      <c r="M50" s="218"/>
      <c r="N50" s="218"/>
      <c r="O50" s="219"/>
      <c r="P50" s="230"/>
      <c r="Q50" s="218"/>
      <c r="R50" s="218"/>
      <c r="S50" s="218"/>
      <c r="T50" s="218"/>
      <c r="U50" s="219"/>
      <c r="V50" s="230"/>
      <c r="W50" s="218"/>
      <c r="X50" s="218"/>
      <c r="Y50" s="218"/>
      <c r="Z50" s="218"/>
      <c r="AA50" s="219"/>
      <c r="AB50" s="230"/>
      <c r="AC50" s="218"/>
      <c r="AD50" s="218"/>
      <c r="AE50" s="218"/>
      <c r="AF50" s="218"/>
      <c r="AG50" s="219"/>
      <c r="AH50" s="230"/>
      <c r="AI50" s="218"/>
      <c r="AJ50" s="218"/>
      <c r="AK50" s="218"/>
      <c r="AL50" s="218"/>
      <c r="AM50" s="219"/>
    </row>
    <row r="51" spans="2:39" ht="15.75" customHeight="1" x14ac:dyDescent="0.25">
      <c r="B51" s="1"/>
      <c r="C51" s="1"/>
      <c r="D51" s="1"/>
      <c r="E51" s="1"/>
      <c r="F51" s="1"/>
      <c r="G51" s="1"/>
      <c r="H51" s="1"/>
      <c r="I51" s="1"/>
      <c r="J51" s="253"/>
      <c r="K51" s="254"/>
      <c r="L51" s="254"/>
      <c r="M51" s="254"/>
      <c r="N51" s="254"/>
      <c r="O51" s="257"/>
      <c r="P51" s="253"/>
      <c r="Q51" s="254"/>
      <c r="R51" s="254"/>
      <c r="S51" s="254"/>
      <c r="T51" s="254"/>
      <c r="U51" s="257"/>
      <c r="V51" s="253"/>
      <c r="W51" s="254"/>
      <c r="X51" s="254"/>
      <c r="Y51" s="254"/>
      <c r="Z51" s="254"/>
      <c r="AA51" s="257"/>
      <c r="AB51" s="253"/>
      <c r="AC51" s="254"/>
      <c r="AD51" s="254"/>
      <c r="AE51" s="254"/>
      <c r="AF51" s="254"/>
      <c r="AG51" s="257"/>
      <c r="AH51" s="253"/>
      <c r="AI51" s="254"/>
      <c r="AJ51" s="254"/>
      <c r="AK51" s="254"/>
      <c r="AL51" s="254"/>
      <c r="AM51" s="257"/>
    </row>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J40:AK41"/>
    <mergeCell ref="AL40:AM41"/>
    <mergeCell ref="T38:U39"/>
    <mergeCell ref="V38:W39"/>
    <mergeCell ref="X38:Y39"/>
    <mergeCell ref="Z38:AA39"/>
    <mergeCell ref="AB38:AC39"/>
    <mergeCell ref="AD38:AE39"/>
    <mergeCell ref="AF38:AG39"/>
    <mergeCell ref="AH38:AI39"/>
    <mergeCell ref="AJ38:AK39"/>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J46:O51"/>
    <mergeCell ref="P44:Q45"/>
    <mergeCell ref="R44:S45"/>
    <mergeCell ref="P46:U51"/>
    <mergeCell ref="T44:U45"/>
    <mergeCell ref="V44:W45"/>
    <mergeCell ref="X44:Y45"/>
    <mergeCell ref="Z44:AA45"/>
    <mergeCell ref="V46:AA51"/>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T61"/>
  <sheetViews>
    <sheetView topLeftCell="A21" zoomScale="50" zoomScaleNormal="50" workbookViewId="0">
      <selection activeCell="T46" sqref="T46"/>
    </sheetView>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2" spans="2:46" ht="18" customHeight="1" x14ac:dyDescent="0.25">
      <c r="B2" s="280" t="s">
        <v>109</v>
      </c>
      <c r="C2" s="218"/>
      <c r="D2" s="218"/>
      <c r="E2" s="218"/>
      <c r="F2" s="218"/>
      <c r="G2" s="218"/>
      <c r="H2" s="218"/>
      <c r="I2" s="218"/>
      <c r="J2" s="261" t="s">
        <v>15</v>
      </c>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44"/>
      <c r="AN2" s="1"/>
      <c r="AO2" s="1"/>
      <c r="AP2" s="1"/>
      <c r="AQ2" s="1"/>
      <c r="AR2" s="1"/>
      <c r="AS2" s="1"/>
      <c r="AT2" s="1"/>
    </row>
    <row r="3" spans="2:46" ht="18.75" customHeight="1" x14ac:dyDescent="0.25">
      <c r="B3" s="218"/>
      <c r="C3" s="218"/>
      <c r="D3" s="218"/>
      <c r="E3" s="218"/>
      <c r="F3" s="218"/>
      <c r="G3" s="218"/>
      <c r="H3" s="218"/>
      <c r="I3" s="218"/>
      <c r="J3" s="263"/>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64"/>
      <c r="AN3" s="1"/>
      <c r="AO3" s="1"/>
      <c r="AP3" s="1"/>
      <c r="AQ3" s="1"/>
      <c r="AR3" s="1"/>
      <c r="AS3" s="1"/>
      <c r="AT3" s="1"/>
    </row>
    <row r="4" spans="2:46" ht="15" customHeight="1" x14ac:dyDescent="0.25">
      <c r="B4" s="218"/>
      <c r="C4" s="218"/>
      <c r="D4" s="218"/>
      <c r="E4" s="218"/>
      <c r="F4" s="218"/>
      <c r="G4" s="218"/>
      <c r="H4" s="218"/>
      <c r="I4" s="218"/>
      <c r="J4" s="233"/>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37"/>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5">
      <c r="B6" s="266" t="s">
        <v>94</v>
      </c>
      <c r="C6" s="262"/>
      <c r="D6" s="232"/>
      <c r="E6" s="281" t="s">
        <v>95</v>
      </c>
      <c r="F6" s="252"/>
      <c r="G6" s="252"/>
      <c r="H6" s="252"/>
      <c r="I6" s="238"/>
      <c r="J6" s="15" t="str">
        <f>IF(AND('Mapa final'!$Y$16="Muy Alta",'Mapa final'!$AA$16="Leve"),CONCATENATE("R1C",'Mapa final'!$O$16),"")</f>
        <v/>
      </c>
      <c r="K6" s="16" t="str">
        <f>IF(AND('Mapa final'!$Y$17="Muy Alta",'Mapa final'!$AA$17="Leve"),CONCATENATE("R1C",'Mapa final'!$O$17),"")</f>
        <v/>
      </c>
      <c r="L6" s="16" t="str">
        <f>IF(AND('Mapa final'!$Y$18="Muy Alta",'Mapa final'!$AA$18="Leve"),CONCATENATE("R1C",'Mapa final'!$O$18),"")</f>
        <v/>
      </c>
      <c r="M6" s="16" t="e">
        <f>IF(AND('Mapa final'!#REF!="Muy Alta",'Mapa final'!#REF!="Leve"),CONCATENATE("R1C",'Mapa final'!#REF!),"")</f>
        <v>#REF!</v>
      </c>
      <c r="N6" s="16" t="e">
        <f>IF(AND('Mapa final'!#REF!="Muy Alta",'Mapa final'!#REF!="Leve"),CONCATENATE("R1C",'Mapa final'!#REF!),"")</f>
        <v>#REF!</v>
      </c>
      <c r="O6" s="17" t="e">
        <f>IF(AND('Mapa final'!#REF!="Muy Alta",'Mapa final'!#REF!="Leve"),CONCATENATE("R1C",'Mapa final'!#REF!),"")</f>
        <v>#REF!</v>
      </c>
      <c r="P6" s="15" t="str">
        <f>IF(AND('Mapa final'!$Y$16="Muy Alta",'Mapa final'!$AA$16="Menor"),CONCATENATE("R1C",'Mapa final'!$O$16),"")</f>
        <v/>
      </c>
      <c r="Q6" s="16" t="str">
        <f>IF(AND('Mapa final'!$Y$17="Muy Alta",'Mapa final'!$AA$17="Menor"),CONCATENATE("R1C",'Mapa final'!$O$17),"")</f>
        <v/>
      </c>
      <c r="R6" s="16" t="str">
        <f>IF(AND('Mapa final'!$Y$18="Muy Alta",'Mapa final'!$AA$18="Menor"),CONCATENATE("R1C",'Mapa final'!$O$18),"")</f>
        <v/>
      </c>
      <c r="S6" s="16" t="e">
        <f>IF(AND('Mapa final'!#REF!="Muy Alta",'Mapa final'!#REF!="Menor"),CONCATENATE("R1C",'Mapa final'!#REF!),"")</f>
        <v>#REF!</v>
      </c>
      <c r="T6" s="16" t="e">
        <f>IF(AND('Mapa final'!#REF!="Muy Alta",'Mapa final'!#REF!="Menor"),CONCATENATE("R1C",'Mapa final'!#REF!),"")</f>
        <v>#REF!</v>
      </c>
      <c r="U6" s="17" t="e">
        <f>IF(AND('Mapa final'!#REF!="Muy Alta",'Mapa final'!#REF!="Menor"),CONCATENATE("R1C",'Mapa final'!#REF!),"")</f>
        <v>#REF!</v>
      </c>
      <c r="V6" s="15" t="str">
        <f>IF(AND('Mapa final'!$Y$16="Muy Alta",'Mapa final'!$AA$16="Moderado"),CONCATENATE("R1C",'Mapa final'!$O$16),"")</f>
        <v/>
      </c>
      <c r="W6" s="16" t="str">
        <f>IF(AND('Mapa final'!$Y$17="Muy Alta",'Mapa final'!$AA$17="Moderado"),CONCATENATE("R1C",'Mapa final'!$O$17),"")</f>
        <v/>
      </c>
      <c r="X6" s="16" t="str">
        <f>IF(AND('Mapa final'!$Y$18="Muy Alta",'Mapa final'!$AA$18="Moderado"),CONCATENATE("R1C",'Mapa final'!$O$18),"")</f>
        <v/>
      </c>
      <c r="Y6" s="16" t="e">
        <f>IF(AND('Mapa final'!#REF!="Muy Alta",'Mapa final'!#REF!="Moderado"),CONCATENATE("R1C",'Mapa final'!#REF!),"")</f>
        <v>#REF!</v>
      </c>
      <c r="Z6" s="16" t="e">
        <f>IF(AND('Mapa final'!#REF!="Muy Alta",'Mapa final'!#REF!="Moderado"),CONCATENATE("R1C",'Mapa final'!#REF!),"")</f>
        <v>#REF!</v>
      </c>
      <c r="AA6" s="17" t="e">
        <f>IF(AND('Mapa final'!#REF!="Muy Alta",'Mapa final'!#REF!="Moderado"),CONCATENATE("R1C",'Mapa final'!#REF!),"")</f>
        <v>#REF!</v>
      </c>
      <c r="AB6" s="15" t="str">
        <f>IF(AND('Mapa final'!$Y$16="Muy Alta",'Mapa final'!$AA$16="Mayor"),CONCATENATE("R1C",'Mapa final'!$O$16),"")</f>
        <v/>
      </c>
      <c r="AC6" s="16" t="str">
        <f>IF(AND('Mapa final'!$Y$17="Muy Alta",'Mapa final'!$AA$17="Mayor"),CONCATENATE("R1C",'Mapa final'!$O$17),"")</f>
        <v/>
      </c>
      <c r="AD6" s="16" t="str">
        <f>IF(AND('Mapa final'!$Y$18="Muy Alta",'Mapa final'!$AA$18="Mayor"),CONCATENATE("R1C",'Mapa final'!$O$18),"")</f>
        <v/>
      </c>
      <c r="AE6" s="16" t="e">
        <f>IF(AND('Mapa final'!#REF!="Muy Alta",'Mapa final'!#REF!="Mayor"),CONCATENATE("R1C",'Mapa final'!#REF!),"")</f>
        <v>#REF!</v>
      </c>
      <c r="AF6" s="16" t="e">
        <f>IF(AND('Mapa final'!#REF!="Muy Alta",'Mapa final'!#REF!="Mayor"),CONCATENATE("R1C",'Mapa final'!#REF!),"")</f>
        <v>#REF!</v>
      </c>
      <c r="AG6" s="17" t="e">
        <f>IF(AND('Mapa final'!#REF!="Muy Alta",'Mapa final'!#REF!="Mayor"),CONCATENATE("R1C",'Mapa final'!#REF!),"")</f>
        <v>#REF!</v>
      </c>
      <c r="AH6" s="18" t="str">
        <f>IF(AND('Mapa final'!$Y$16="Muy Alta",'Mapa final'!$AA$16="Catastrófico"),CONCATENATE("R1C",'Mapa final'!$O$16),"")</f>
        <v/>
      </c>
      <c r="AI6" s="19" t="str">
        <f>IF(AND('Mapa final'!$Y$17="Muy Alta",'Mapa final'!$AA$17="Catastrófico"),CONCATENATE("R1C",'Mapa final'!$O$17),"")</f>
        <v/>
      </c>
      <c r="AJ6" s="19" t="str">
        <f>IF(AND('Mapa final'!$Y$18="Muy Alta",'Mapa final'!$AA$18="Catastrófico"),CONCATENATE("R1C",'Mapa final'!$O$18),"")</f>
        <v/>
      </c>
      <c r="AK6" s="19" t="e">
        <f>IF(AND('Mapa final'!#REF!="Muy Alta",'Mapa final'!#REF!="Catastrófico"),CONCATENATE("R1C",'Mapa final'!#REF!),"")</f>
        <v>#REF!</v>
      </c>
      <c r="AL6" s="19" t="e">
        <f>IF(AND('Mapa final'!#REF!="Muy Alta",'Mapa final'!#REF!="Catastrófico"),CONCATENATE("R1C",'Mapa final'!#REF!),"")</f>
        <v>#REF!</v>
      </c>
      <c r="AM6" s="20" t="e">
        <f>IF(AND('Mapa final'!#REF!="Muy Alta",'Mapa final'!#REF!="Catastrófico"),CONCATENATE("R1C",'Mapa final'!#REF!),"")</f>
        <v>#REF!</v>
      </c>
      <c r="AN6" s="1"/>
      <c r="AO6" s="284" t="s">
        <v>96</v>
      </c>
      <c r="AP6" s="270"/>
      <c r="AQ6" s="270"/>
      <c r="AR6" s="270"/>
      <c r="AS6" s="270"/>
      <c r="AT6" s="271"/>
    </row>
    <row r="7" spans="2:46" ht="15" customHeight="1" x14ac:dyDescent="0.25">
      <c r="B7" s="263"/>
      <c r="C7" s="218"/>
      <c r="D7" s="219"/>
      <c r="E7" s="230"/>
      <c r="F7" s="218"/>
      <c r="G7" s="218"/>
      <c r="H7" s="218"/>
      <c r="I7" s="219"/>
      <c r="J7" s="21" t="str">
        <f>IF(AND('Mapa final'!$Y$23="Muy Alta",'Mapa final'!$AA$23="Leve"),CONCATENATE("R2C",'Mapa final'!$O$23),"")</f>
        <v/>
      </c>
      <c r="K7" s="22" t="e">
        <f>IF(AND('Mapa final'!#REF!="Muy Alta",'Mapa final'!#REF!="Leve"),CONCATENATE("R2C",'Mapa final'!#REF!),"")</f>
        <v>#REF!</v>
      </c>
      <c r="L7" s="22" t="e">
        <f>IF(AND('Mapa final'!#REF!="Muy Alta",'Mapa final'!#REF!="Leve"),CONCATENATE("R2C",'Mapa final'!#REF!),"")</f>
        <v>#REF!</v>
      </c>
      <c r="M7" s="22" t="e">
        <f>IF(AND('Mapa final'!#REF!="Muy Alta",'Mapa final'!#REF!="Leve"),CONCATENATE("R2C",'Mapa final'!#REF!),"")</f>
        <v>#REF!</v>
      </c>
      <c r="N7" s="22" t="str">
        <f>IF(AND('Mapa final'!$Y$24="Muy Alta",'Mapa final'!$AA$24="Leve"),CONCATENATE("R2C",'Mapa final'!$O$24),"")</f>
        <v/>
      </c>
      <c r="O7" s="23" t="str">
        <f>IF(AND('Mapa final'!$Y$25="Muy Alta",'Mapa final'!$AA$25="Leve"),CONCATENATE("R2C",'Mapa final'!$O$25),"")</f>
        <v/>
      </c>
      <c r="P7" s="21" t="str">
        <f>IF(AND('Mapa final'!$Y$23="Muy Alta",'Mapa final'!$AA$23="Menor"),CONCATENATE("R2C",'Mapa final'!$O$23),"")</f>
        <v/>
      </c>
      <c r="Q7" s="22" t="e">
        <f>IF(AND('Mapa final'!#REF!="Muy Alta",'Mapa final'!#REF!="Menor"),CONCATENATE("R2C",'Mapa final'!#REF!),"")</f>
        <v>#REF!</v>
      </c>
      <c r="R7" s="22" t="e">
        <f>IF(AND('Mapa final'!#REF!="Muy Alta",'Mapa final'!#REF!="Menor"),CONCATENATE("R2C",'Mapa final'!#REF!),"")</f>
        <v>#REF!</v>
      </c>
      <c r="S7" s="22" t="e">
        <f>IF(AND('Mapa final'!#REF!="Muy Alta",'Mapa final'!#REF!="Menor"),CONCATENATE("R2C",'Mapa final'!#REF!),"")</f>
        <v>#REF!</v>
      </c>
      <c r="T7" s="22" t="str">
        <f>IF(AND('Mapa final'!$Y$24="Muy Alta",'Mapa final'!$AA$24="Menor"),CONCATENATE("R2C",'Mapa final'!$O$24),"")</f>
        <v/>
      </c>
      <c r="U7" s="23" t="str">
        <f>IF(AND('Mapa final'!$Y$25="Muy Alta",'Mapa final'!$AA$25="Menor"),CONCATENATE("R2C",'Mapa final'!$O$25),"")</f>
        <v/>
      </c>
      <c r="V7" s="21" t="str">
        <f>IF(AND('Mapa final'!$Y$23="Muy Alta",'Mapa final'!$AA$23="Moderado"),CONCATENATE("R2C",'Mapa final'!$O$23),"")</f>
        <v/>
      </c>
      <c r="W7" s="22" t="e">
        <f>IF(AND('Mapa final'!#REF!="Muy Alta",'Mapa final'!#REF!="Moderado"),CONCATENATE("R2C",'Mapa final'!#REF!),"")</f>
        <v>#REF!</v>
      </c>
      <c r="X7" s="22" t="e">
        <f>IF(AND('Mapa final'!#REF!="Muy Alta",'Mapa final'!#REF!="Moderado"),CONCATENATE("R2C",'Mapa final'!#REF!),"")</f>
        <v>#REF!</v>
      </c>
      <c r="Y7" s="22" t="e">
        <f>IF(AND('Mapa final'!#REF!="Muy Alta",'Mapa final'!#REF!="Moderado"),CONCATENATE("R2C",'Mapa final'!#REF!),"")</f>
        <v>#REF!</v>
      </c>
      <c r="Z7" s="22" t="str">
        <f>IF(AND('Mapa final'!$Y$24="Muy Alta",'Mapa final'!$AA$24="Moderado"),CONCATENATE("R2C",'Mapa final'!$O$24),"")</f>
        <v/>
      </c>
      <c r="AA7" s="23" t="str">
        <f>IF(AND('Mapa final'!$Y$25="Muy Alta",'Mapa final'!$AA$25="Moderado"),CONCATENATE("R2C",'Mapa final'!$O$25),"")</f>
        <v/>
      </c>
      <c r="AB7" s="21" t="str">
        <f>IF(AND('Mapa final'!$Y$23="Muy Alta",'Mapa final'!$AA$23="Mayor"),CONCATENATE("R2C",'Mapa final'!$O$23),"")</f>
        <v/>
      </c>
      <c r="AC7" s="22" t="e">
        <f>IF(AND('Mapa final'!#REF!="Muy Alta",'Mapa final'!#REF!="Mayor"),CONCATENATE("R2C",'Mapa final'!#REF!),"")</f>
        <v>#REF!</v>
      </c>
      <c r="AD7" s="22" t="e">
        <f>IF(AND('Mapa final'!#REF!="Muy Alta",'Mapa final'!#REF!="Mayor"),CONCATENATE("R2C",'Mapa final'!#REF!),"")</f>
        <v>#REF!</v>
      </c>
      <c r="AE7" s="22" t="e">
        <f>IF(AND('Mapa final'!#REF!="Muy Alta",'Mapa final'!#REF!="Mayor"),CONCATENATE("R2C",'Mapa final'!#REF!),"")</f>
        <v>#REF!</v>
      </c>
      <c r="AF7" s="22" t="str">
        <f>IF(AND('Mapa final'!$Y$24="Muy Alta",'Mapa final'!$AA$24="Mayor"),CONCATENATE("R2C",'Mapa final'!$O$24),"")</f>
        <v/>
      </c>
      <c r="AG7" s="23" t="str">
        <f>IF(AND('Mapa final'!$Y$25="Muy Alta",'Mapa final'!$AA$25="Mayor"),CONCATENATE("R2C",'Mapa final'!$O$25),"")</f>
        <v/>
      </c>
      <c r="AH7" s="24" t="str">
        <f>IF(AND('Mapa final'!$Y$23="Muy Alta",'Mapa final'!$AA$23="Catastrófico"),CONCATENATE("R2C",'Mapa final'!$O$23),"")</f>
        <v/>
      </c>
      <c r="AI7" s="25" t="e">
        <f>IF(AND('Mapa final'!#REF!="Muy Alta",'Mapa final'!#REF!="Catastrófico"),CONCATENATE("R2C",'Mapa final'!#REF!),"")</f>
        <v>#REF!</v>
      </c>
      <c r="AJ7" s="25" t="e">
        <f>IF(AND('Mapa final'!#REF!="Muy Alta",'Mapa final'!#REF!="Catastrófico"),CONCATENATE("R2C",'Mapa final'!#REF!),"")</f>
        <v>#REF!</v>
      </c>
      <c r="AK7" s="25" t="e">
        <f>IF(AND('Mapa final'!#REF!="Muy Alta",'Mapa final'!#REF!="Catastrófico"),CONCATENATE("R2C",'Mapa final'!#REF!),"")</f>
        <v>#REF!</v>
      </c>
      <c r="AL7" s="25" t="str">
        <f>IF(AND('Mapa final'!$Y$24="Muy Alta",'Mapa final'!$AA$24="Catastrófico"),CONCATENATE("R2C",'Mapa final'!$O$24),"")</f>
        <v/>
      </c>
      <c r="AM7" s="26" t="str">
        <f>IF(AND('Mapa final'!$Y$25="Muy Alta",'Mapa final'!$AA$25="Catastrófico"),CONCATENATE("R2C",'Mapa final'!$O$25),"")</f>
        <v/>
      </c>
      <c r="AN7" s="1"/>
      <c r="AO7" s="272"/>
      <c r="AP7" s="218"/>
      <c r="AQ7" s="218"/>
      <c r="AR7" s="218"/>
      <c r="AS7" s="218"/>
      <c r="AT7" s="273"/>
    </row>
    <row r="8" spans="2:46" ht="15" customHeight="1" x14ac:dyDescent="0.25">
      <c r="B8" s="263"/>
      <c r="C8" s="218"/>
      <c r="D8" s="219"/>
      <c r="E8" s="230"/>
      <c r="F8" s="218"/>
      <c r="G8" s="218"/>
      <c r="H8" s="218"/>
      <c r="I8" s="219"/>
      <c r="J8" s="21" t="str">
        <f>IF(AND('Mapa final'!$Y$30="Muy Alta",'Mapa final'!$AA$30="Leve"),CONCATENATE("R3C",'Mapa final'!$O$30),"")</f>
        <v/>
      </c>
      <c r="K8" s="22" t="str">
        <f>IF(AND('Mapa final'!$Y$31="Muy Alta",'Mapa final'!$AA$31="Leve"),CONCATENATE("R3C",'Mapa final'!$O$31),"")</f>
        <v/>
      </c>
      <c r="L8" s="22" t="str">
        <f>IF(AND('Mapa final'!$Y$32="Muy Alta",'Mapa final'!$AA$32="Leve"),CONCATENATE("R3C",'Mapa final'!$O$32),"")</f>
        <v/>
      </c>
      <c r="M8" s="22" t="e">
        <f>IF(AND('Mapa final'!#REF!="Muy Alta",'Mapa final'!#REF!="Leve"),CONCATENATE("R3C",'Mapa final'!#REF!),"")</f>
        <v>#REF!</v>
      </c>
      <c r="N8" s="22" t="e">
        <f>IF(AND('Mapa final'!#REF!="Muy Alta",'Mapa final'!#REF!="Leve"),CONCATENATE("R3C",'Mapa final'!#REF!),"")</f>
        <v>#REF!</v>
      </c>
      <c r="O8" s="23" t="e">
        <f>IF(AND('Mapa final'!#REF!="Muy Alta",'Mapa final'!#REF!="Leve"),CONCATENATE("R3C",'Mapa final'!#REF!),"")</f>
        <v>#REF!</v>
      </c>
      <c r="P8" s="21" t="str">
        <f>IF(AND('Mapa final'!$Y$30="Muy Alta",'Mapa final'!$AA$30="Menor"),CONCATENATE("R3C",'Mapa final'!$O$30),"")</f>
        <v/>
      </c>
      <c r="Q8" s="22" t="str">
        <f>IF(AND('Mapa final'!$Y$31="Muy Alta",'Mapa final'!$AA$31="Menor"),CONCATENATE("R3C",'Mapa final'!$O$31),"")</f>
        <v/>
      </c>
      <c r="R8" s="22" t="str">
        <f>IF(AND('Mapa final'!$Y$32="Muy Alta",'Mapa final'!$AA$32="Menor"),CONCATENATE("R3C",'Mapa final'!$O$32),"")</f>
        <v/>
      </c>
      <c r="S8" s="22" t="e">
        <f>IF(AND('Mapa final'!#REF!="Muy Alta",'Mapa final'!#REF!="Menor"),CONCATENATE("R3C",'Mapa final'!#REF!),"")</f>
        <v>#REF!</v>
      </c>
      <c r="T8" s="22" t="e">
        <f>IF(AND('Mapa final'!#REF!="Muy Alta",'Mapa final'!#REF!="Menor"),CONCATENATE("R3C",'Mapa final'!#REF!),"")</f>
        <v>#REF!</v>
      </c>
      <c r="U8" s="23" t="e">
        <f>IF(AND('Mapa final'!#REF!="Muy Alta",'Mapa final'!#REF!="Menor"),CONCATENATE("R3C",'Mapa final'!#REF!),"")</f>
        <v>#REF!</v>
      </c>
      <c r="V8" s="21" t="str">
        <f>IF(AND('Mapa final'!$Y$30="Muy Alta",'Mapa final'!$AA$30="Moderado"),CONCATENATE("R3C",'Mapa final'!$O$30),"")</f>
        <v/>
      </c>
      <c r="W8" s="22" t="str">
        <f>IF(AND('Mapa final'!$Y$31="Muy Alta",'Mapa final'!$AA$31="Moderado"),CONCATENATE("R3C",'Mapa final'!$O$31),"")</f>
        <v/>
      </c>
      <c r="X8" s="22" t="str">
        <f>IF(AND('Mapa final'!$Y$32="Muy Alta",'Mapa final'!$AA$32="Moderado"),CONCATENATE("R3C",'Mapa final'!$O$32),"")</f>
        <v/>
      </c>
      <c r="Y8" s="22" t="e">
        <f>IF(AND('Mapa final'!#REF!="Muy Alta",'Mapa final'!#REF!="Moderado"),CONCATENATE("R3C",'Mapa final'!#REF!),"")</f>
        <v>#REF!</v>
      </c>
      <c r="Z8" s="22" t="e">
        <f>IF(AND('Mapa final'!#REF!="Muy Alta",'Mapa final'!#REF!="Moderado"),CONCATENATE("R3C",'Mapa final'!#REF!),"")</f>
        <v>#REF!</v>
      </c>
      <c r="AA8" s="23" t="e">
        <f>IF(AND('Mapa final'!#REF!="Muy Alta",'Mapa final'!#REF!="Moderado"),CONCATENATE("R3C",'Mapa final'!#REF!),"")</f>
        <v>#REF!</v>
      </c>
      <c r="AB8" s="21" t="str">
        <f>IF(AND('Mapa final'!$Y$30="Muy Alta",'Mapa final'!$AA$30="Mayor"),CONCATENATE("R3C",'Mapa final'!$O$30),"")</f>
        <v/>
      </c>
      <c r="AC8" s="22" t="str">
        <f>IF(AND('Mapa final'!$Y$31="Muy Alta",'Mapa final'!$AA$31="Mayor"),CONCATENATE("R3C",'Mapa final'!$O$31),"")</f>
        <v/>
      </c>
      <c r="AD8" s="22" t="str">
        <f>IF(AND('Mapa final'!$Y$32="Muy Alta",'Mapa final'!$AA$32="Mayor"),CONCATENATE("R3C",'Mapa final'!$O$32),"")</f>
        <v/>
      </c>
      <c r="AE8" s="22" t="e">
        <f>IF(AND('Mapa final'!#REF!="Muy Alta",'Mapa final'!#REF!="Mayor"),CONCATENATE("R3C",'Mapa final'!#REF!),"")</f>
        <v>#REF!</v>
      </c>
      <c r="AF8" s="22" t="e">
        <f>IF(AND('Mapa final'!#REF!="Muy Alta",'Mapa final'!#REF!="Mayor"),CONCATENATE("R3C",'Mapa final'!#REF!),"")</f>
        <v>#REF!</v>
      </c>
      <c r="AG8" s="23" t="e">
        <f>IF(AND('Mapa final'!#REF!="Muy Alta",'Mapa final'!#REF!="Mayor"),CONCATENATE("R3C",'Mapa final'!#REF!),"")</f>
        <v>#REF!</v>
      </c>
      <c r="AH8" s="24" t="str">
        <f>IF(AND('Mapa final'!$Y$30="Muy Alta",'Mapa final'!$AA$30="Catastrófico"),CONCATENATE("R3C",'Mapa final'!$O$30),"")</f>
        <v/>
      </c>
      <c r="AI8" s="25" t="str">
        <f>IF(AND('Mapa final'!$Y$31="Muy Alta",'Mapa final'!$AA$31="Catastrófico"),CONCATENATE("R3C",'Mapa final'!$O$31),"")</f>
        <v/>
      </c>
      <c r="AJ8" s="25" t="str">
        <f>IF(AND('Mapa final'!$Y$32="Muy Alta",'Mapa final'!$AA$32="Catastrófico"),CONCATENATE("R3C",'Mapa final'!$O$32),"")</f>
        <v/>
      </c>
      <c r="AK8" s="25" t="e">
        <f>IF(AND('Mapa final'!#REF!="Muy Alta",'Mapa final'!#REF!="Catastrófico"),CONCATENATE("R3C",'Mapa final'!#REF!),"")</f>
        <v>#REF!</v>
      </c>
      <c r="AL8" s="25" t="e">
        <f>IF(AND('Mapa final'!#REF!="Muy Alta",'Mapa final'!#REF!="Catastrófico"),CONCATENATE("R3C",'Mapa final'!#REF!),"")</f>
        <v>#REF!</v>
      </c>
      <c r="AM8" s="26" t="e">
        <f>IF(AND('Mapa final'!#REF!="Muy Alta",'Mapa final'!#REF!="Catastrófico"),CONCATENATE("R3C",'Mapa final'!#REF!),"")</f>
        <v>#REF!</v>
      </c>
      <c r="AN8" s="1"/>
      <c r="AO8" s="272"/>
      <c r="AP8" s="218"/>
      <c r="AQ8" s="218"/>
      <c r="AR8" s="218"/>
      <c r="AS8" s="218"/>
      <c r="AT8" s="273"/>
    </row>
    <row r="9" spans="2:46" ht="15" customHeight="1" x14ac:dyDescent="0.25">
      <c r="B9" s="263"/>
      <c r="C9" s="218"/>
      <c r="D9" s="219"/>
      <c r="E9" s="230"/>
      <c r="F9" s="218"/>
      <c r="G9" s="218"/>
      <c r="H9" s="218"/>
      <c r="I9" s="219"/>
      <c r="J9" s="21" t="str">
        <f>IF(AND('Mapa final'!$Y$37="Muy Alta",'Mapa final'!$AA$37="Leve"),CONCATENATE("R4C",'Mapa final'!$O$37),"")</f>
        <v/>
      </c>
      <c r="K9" s="22" t="str">
        <f>IF(AND('Mapa final'!$Y$38="Muy Alta",'Mapa final'!$AA$38="Leve"),CONCATENATE("R4C",'Mapa final'!$O$38),"")</f>
        <v/>
      </c>
      <c r="L9" s="22" t="e">
        <f>IF(AND('Mapa final'!#REF!="Muy Alta",'Mapa final'!#REF!="Leve"),CONCATENATE("R4C",'Mapa final'!#REF!),"")</f>
        <v>#REF!</v>
      </c>
      <c r="M9" s="22" t="str">
        <f>IF(AND('Mapa final'!$Y$39="Muy Alta",'Mapa final'!$AA$39="Leve"),CONCATENATE("R4C",'Mapa final'!$O$39),"")</f>
        <v/>
      </c>
      <c r="N9" s="22" t="e">
        <f>IF(AND('Mapa final'!#REF!="Muy Alta",'Mapa final'!#REF!="Leve"),CONCATENATE("R4C",'Mapa final'!#REF!),"")</f>
        <v>#REF!</v>
      </c>
      <c r="O9" s="23" t="e">
        <f>IF(AND('Mapa final'!#REF!="Muy Alta",'Mapa final'!#REF!="Leve"),CONCATENATE("R4C",'Mapa final'!#REF!),"")</f>
        <v>#REF!</v>
      </c>
      <c r="P9" s="21" t="str">
        <f>IF(AND('Mapa final'!$Y$37="Muy Alta",'Mapa final'!$AA$37="Menor"),CONCATENATE("R4C",'Mapa final'!$O$37),"")</f>
        <v/>
      </c>
      <c r="Q9" s="22" t="str">
        <f>IF(AND('Mapa final'!$Y$38="Muy Alta",'Mapa final'!$AA$38="Menor"),CONCATENATE("R4C",'Mapa final'!$O$38),"")</f>
        <v/>
      </c>
      <c r="R9" s="22" t="e">
        <f>IF(AND('Mapa final'!#REF!="Muy Alta",'Mapa final'!#REF!="Menor"),CONCATENATE("R4C",'Mapa final'!#REF!),"")</f>
        <v>#REF!</v>
      </c>
      <c r="S9" s="22" t="str">
        <f>IF(AND('Mapa final'!$Y$39="Muy Alta",'Mapa final'!$AA$39="Menor"),CONCATENATE("R4C",'Mapa final'!$O$39),"")</f>
        <v/>
      </c>
      <c r="T9" s="22" t="e">
        <f>IF(AND('Mapa final'!#REF!="Muy Alta",'Mapa final'!#REF!="Menor"),CONCATENATE("R4C",'Mapa final'!#REF!),"")</f>
        <v>#REF!</v>
      </c>
      <c r="U9" s="23" t="e">
        <f>IF(AND('Mapa final'!#REF!="Muy Alta",'Mapa final'!#REF!="Menor"),CONCATENATE("R4C",'Mapa final'!#REF!),"")</f>
        <v>#REF!</v>
      </c>
      <c r="V9" s="21" t="str">
        <f>IF(AND('Mapa final'!$Y$37="Muy Alta",'Mapa final'!$AA$37="Moderado"),CONCATENATE("R4C",'Mapa final'!$O$37),"")</f>
        <v/>
      </c>
      <c r="W9" s="22" t="str">
        <f>IF(AND('Mapa final'!$Y$38="Muy Alta",'Mapa final'!$AA$38="Moderado"),CONCATENATE("R4C",'Mapa final'!$O$38),"")</f>
        <v/>
      </c>
      <c r="X9" s="22" t="e">
        <f>IF(AND('Mapa final'!#REF!="Muy Alta",'Mapa final'!#REF!="Moderado"),CONCATENATE("R4C",'Mapa final'!#REF!),"")</f>
        <v>#REF!</v>
      </c>
      <c r="Y9" s="22" t="str">
        <f>IF(AND('Mapa final'!$Y$39="Muy Alta",'Mapa final'!$AA$39="Moderado"),CONCATENATE("R4C",'Mapa final'!$O$39),"")</f>
        <v/>
      </c>
      <c r="Z9" s="22" t="e">
        <f>IF(AND('Mapa final'!#REF!="Muy Alta",'Mapa final'!#REF!="Moderado"),CONCATENATE("R4C",'Mapa final'!#REF!),"")</f>
        <v>#REF!</v>
      </c>
      <c r="AA9" s="23" t="e">
        <f>IF(AND('Mapa final'!#REF!="Muy Alta",'Mapa final'!#REF!="Moderado"),CONCATENATE("R4C",'Mapa final'!#REF!),"")</f>
        <v>#REF!</v>
      </c>
      <c r="AB9" s="21" t="str">
        <f>IF(AND('Mapa final'!$Y$37="Muy Alta",'Mapa final'!$AA$37="Mayor"),CONCATENATE("R4C",'Mapa final'!$O$37),"")</f>
        <v/>
      </c>
      <c r="AC9" s="22" t="str">
        <f>IF(AND('Mapa final'!$Y$38="Muy Alta",'Mapa final'!$AA$38="Mayor"),CONCATENATE("R4C",'Mapa final'!$O$38),"")</f>
        <v/>
      </c>
      <c r="AD9" s="22" t="e">
        <f>IF(AND('Mapa final'!#REF!="Muy Alta",'Mapa final'!#REF!="Mayor"),CONCATENATE("R4C",'Mapa final'!#REF!),"")</f>
        <v>#REF!</v>
      </c>
      <c r="AE9" s="22" t="str">
        <f>IF(AND('Mapa final'!$Y$39="Muy Alta",'Mapa final'!$AA$39="Mayor"),CONCATENATE("R4C",'Mapa final'!$O$39),"")</f>
        <v/>
      </c>
      <c r="AF9" s="22" t="e">
        <f>IF(AND('Mapa final'!#REF!="Muy Alta",'Mapa final'!#REF!="Mayor"),CONCATENATE("R4C",'Mapa final'!#REF!),"")</f>
        <v>#REF!</v>
      </c>
      <c r="AG9" s="23" t="e">
        <f>IF(AND('Mapa final'!#REF!="Muy Alta",'Mapa final'!#REF!="Mayor"),CONCATENATE("R4C",'Mapa final'!#REF!),"")</f>
        <v>#REF!</v>
      </c>
      <c r="AH9" s="24" t="str">
        <f>IF(AND('Mapa final'!$Y$37="Muy Alta",'Mapa final'!$AA$37="Catastrófico"),CONCATENATE("R4C",'Mapa final'!$O$37),"")</f>
        <v/>
      </c>
      <c r="AI9" s="25" t="str">
        <f>IF(AND('Mapa final'!$Y$38="Muy Alta",'Mapa final'!$AA$38="Catastrófico"),CONCATENATE("R4C",'Mapa final'!$O$38),"")</f>
        <v/>
      </c>
      <c r="AJ9" s="25" t="e">
        <f>IF(AND('Mapa final'!#REF!="Muy Alta",'Mapa final'!#REF!="Catastrófico"),CONCATENATE("R4C",'Mapa final'!#REF!),"")</f>
        <v>#REF!</v>
      </c>
      <c r="AK9" s="25" t="str">
        <f>IF(AND('Mapa final'!$Y$39="Muy Alta",'Mapa final'!$AA$39="Catastrófico"),CONCATENATE("R4C",'Mapa final'!$O$39),"")</f>
        <v/>
      </c>
      <c r="AL9" s="25" t="e">
        <f>IF(AND('Mapa final'!#REF!="Muy Alta",'Mapa final'!#REF!="Catastrófico"),CONCATENATE("R4C",'Mapa final'!#REF!),"")</f>
        <v>#REF!</v>
      </c>
      <c r="AM9" s="26" t="e">
        <f>IF(AND('Mapa final'!#REF!="Muy Alta",'Mapa final'!#REF!="Catastrófico"),CONCATENATE("R4C",'Mapa final'!#REF!),"")</f>
        <v>#REF!</v>
      </c>
      <c r="AN9" s="1"/>
      <c r="AO9" s="272"/>
      <c r="AP9" s="218"/>
      <c r="AQ9" s="218"/>
      <c r="AR9" s="218"/>
      <c r="AS9" s="218"/>
      <c r="AT9" s="273"/>
    </row>
    <row r="10" spans="2:46" ht="15" customHeight="1" x14ac:dyDescent="0.25">
      <c r="B10" s="263"/>
      <c r="C10" s="218"/>
      <c r="D10" s="219"/>
      <c r="E10" s="230"/>
      <c r="F10" s="218"/>
      <c r="G10" s="218"/>
      <c r="H10" s="218"/>
      <c r="I10" s="219"/>
      <c r="J10" s="21" t="str">
        <f>IF(AND('Mapa final'!$Y$44="Muy Alta",'Mapa final'!$AA$44="Leve"),CONCATENATE("R5C",'Mapa final'!$O$44),"")</f>
        <v/>
      </c>
      <c r="K10" s="22" t="str">
        <f>IF(AND('Mapa final'!$Y$45="Muy Alta",'Mapa final'!$AA$45="Leve"),CONCATENATE("R5C",'Mapa final'!$O$45),"")</f>
        <v/>
      </c>
      <c r="L10" s="22" t="str">
        <f>IF(AND('Mapa final'!$Y$46="Muy Alta",'Mapa final'!$AA$46="Leve"),CONCATENATE("R5C",'Mapa final'!$O$46),"")</f>
        <v/>
      </c>
      <c r="M10" s="22" t="e">
        <f>IF(AND('Mapa final'!#REF!="Muy Alta",'Mapa final'!#REF!="Leve"),CONCATENATE("R5C",'Mapa final'!#REF!),"")</f>
        <v>#REF!</v>
      </c>
      <c r="N10" s="22" t="e">
        <f>IF(AND('Mapa final'!#REF!="Muy Alta",'Mapa final'!#REF!="Leve"),CONCATENATE("R5C",'Mapa final'!#REF!),"")</f>
        <v>#REF!</v>
      </c>
      <c r="O10" s="23" t="e">
        <f>IF(AND('Mapa final'!#REF!="Muy Alta",'Mapa final'!#REF!="Leve"),CONCATENATE("R5C",'Mapa final'!#REF!),"")</f>
        <v>#REF!</v>
      </c>
      <c r="P10" s="21" t="str">
        <f>IF(AND('Mapa final'!$Y$44="Muy Alta",'Mapa final'!$AA$44="Menor"),CONCATENATE("R5C",'Mapa final'!$O$44),"")</f>
        <v/>
      </c>
      <c r="Q10" s="22" t="str">
        <f>IF(AND('Mapa final'!$Y$45="Muy Alta",'Mapa final'!$AA$45="Menor"),CONCATENATE("R5C",'Mapa final'!$O$45),"")</f>
        <v/>
      </c>
      <c r="R10" s="22" t="str">
        <f>IF(AND('Mapa final'!$Y$46="Muy Alta",'Mapa final'!$AA$46="Menor"),CONCATENATE("R5C",'Mapa final'!$O$46),"")</f>
        <v/>
      </c>
      <c r="S10" s="22" t="e">
        <f>IF(AND('Mapa final'!#REF!="Muy Alta",'Mapa final'!#REF!="Menor"),CONCATENATE("R5C",'Mapa final'!#REF!),"")</f>
        <v>#REF!</v>
      </c>
      <c r="T10" s="22" t="e">
        <f>IF(AND('Mapa final'!#REF!="Muy Alta",'Mapa final'!#REF!="Menor"),CONCATENATE("R5C",'Mapa final'!#REF!),"")</f>
        <v>#REF!</v>
      </c>
      <c r="U10" s="23" t="e">
        <f>IF(AND('Mapa final'!#REF!="Muy Alta",'Mapa final'!#REF!="Menor"),CONCATENATE("R5C",'Mapa final'!#REF!),"")</f>
        <v>#REF!</v>
      </c>
      <c r="V10" s="21" t="str">
        <f>IF(AND('Mapa final'!$Y$44="Muy Alta",'Mapa final'!$AA$44="Moderado"),CONCATENATE("R5C",'Mapa final'!$O$44),"")</f>
        <v/>
      </c>
      <c r="W10" s="22" t="str">
        <f>IF(AND('Mapa final'!$Y$45="Muy Alta",'Mapa final'!$AA$45="Moderado"),CONCATENATE("R5C",'Mapa final'!$O$45),"")</f>
        <v/>
      </c>
      <c r="X10" s="22" t="str">
        <f>IF(AND('Mapa final'!$Y$46="Muy Alta",'Mapa final'!$AA$46="Moderado"),CONCATENATE("R5C",'Mapa final'!$O$46),"")</f>
        <v/>
      </c>
      <c r="Y10" s="22" t="e">
        <f>IF(AND('Mapa final'!#REF!="Muy Alta",'Mapa final'!#REF!="Moderado"),CONCATENATE("R5C",'Mapa final'!#REF!),"")</f>
        <v>#REF!</v>
      </c>
      <c r="Z10" s="22" t="e">
        <f>IF(AND('Mapa final'!#REF!="Muy Alta",'Mapa final'!#REF!="Moderado"),CONCATENATE("R5C",'Mapa final'!#REF!),"")</f>
        <v>#REF!</v>
      </c>
      <c r="AA10" s="23" t="e">
        <f>IF(AND('Mapa final'!#REF!="Muy Alta",'Mapa final'!#REF!="Moderado"),CONCATENATE("R5C",'Mapa final'!#REF!),"")</f>
        <v>#REF!</v>
      </c>
      <c r="AB10" s="21" t="str">
        <f>IF(AND('Mapa final'!$Y$44="Muy Alta",'Mapa final'!$AA$44="Mayor"),CONCATENATE("R5C",'Mapa final'!$O$44),"")</f>
        <v/>
      </c>
      <c r="AC10" s="22" t="str">
        <f>IF(AND('Mapa final'!$Y$45="Muy Alta",'Mapa final'!$AA$45="Mayor"),CONCATENATE("R5C",'Mapa final'!$O$45),"")</f>
        <v/>
      </c>
      <c r="AD10" s="22" t="str">
        <f>IF(AND('Mapa final'!$Y$46="Muy Alta",'Mapa final'!$AA$46="Mayor"),CONCATENATE("R5C",'Mapa final'!$O$46),"")</f>
        <v/>
      </c>
      <c r="AE10" s="22" t="e">
        <f>IF(AND('Mapa final'!#REF!="Muy Alta",'Mapa final'!#REF!="Mayor"),CONCATENATE("R5C",'Mapa final'!#REF!),"")</f>
        <v>#REF!</v>
      </c>
      <c r="AF10" s="22" t="e">
        <f>IF(AND('Mapa final'!#REF!="Muy Alta",'Mapa final'!#REF!="Mayor"),CONCATENATE("R5C",'Mapa final'!#REF!),"")</f>
        <v>#REF!</v>
      </c>
      <c r="AG10" s="23" t="e">
        <f>IF(AND('Mapa final'!#REF!="Muy Alta",'Mapa final'!#REF!="Mayor"),CONCATENATE("R5C",'Mapa final'!#REF!),"")</f>
        <v>#REF!</v>
      </c>
      <c r="AH10" s="24" t="str">
        <f>IF(AND('Mapa final'!$Y$44="Muy Alta",'Mapa final'!$AA$44="Catastrófico"),CONCATENATE("R5C",'Mapa final'!$O$44),"")</f>
        <v/>
      </c>
      <c r="AI10" s="25" t="str">
        <f>IF(AND('Mapa final'!$Y$45="Muy Alta",'Mapa final'!$AA$45="Catastrófico"),CONCATENATE("R5C",'Mapa final'!$O$45),"")</f>
        <v/>
      </c>
      <c r="AJ10" s="25" t="str">
        <f>IF(AND('Mapa final'!$Y$46="Muy Alta",'Mapa final'!$AA$46="Catastrófico"),CONCATENATE("R5C",'Mapa final'!$O$46),"")</f>
        <v/>
      </c>
      <c r="AK10" s="25" t="e">
        <f>IF(AND('Mapa final'!#REF!="Muy Alta",'Mapa final'!#REF!="Catastrófico"),CONCATENATE("R5C",'Mapa final'!#REF!),"")</f>
        <v>#REF!</v>
      </c>
      <c r="AL10" s="25" t="e">
        <f>IF(AND('Mapa final'!#REF!="Muy Alta",'Mapa final'!#REF!="Catastrófico"),CONCATENATE("R5C",'Mapa final'!#REF!),"")</f>
        <v>#REF!</v>
      </c>
      <c r="AM10" s="26" t="e">
        <f>IF(AND('Mapa final'!#REF!="Muy Alta",'Mapa final'!#REF!="Catastrófico"),CONCATENATE("R5C",'Mapa final'!#REF!),"")</f>
        <v>#REF!</v>
      </c>
      <c r="AN10" s="1"/>
      <c r="AO10" s="272"/>
      <c r="AP10" s="218"/>
      <c r="AQ10" s="218"/>
      <c r="AR10" s="218"/>
      <c r="AS10" s="218"/>
      <c r="AT10" s="273"/>
    </row>
    <row r="11" spans="2:46" ht="15" customHeight="1" x14ac:dyDescent="0.25">
      <c r="B11" s="263"/>
      <c r="C11" s="218"/>
      <c r="D11" s="219"/>
      <c r="E11" s="230"/>
      <c r="F11" s="218"/>
      <c r="G11" s="218"/>
      <c r="H11" s="218"/>
      <c r="I11" s="219"/>
      <c r="J11" s="21" t="str">
        <f>IF(AND('Mapa final'!$Y$51="Muy Alta",'Mapa final'!$AA$51="Leve"),CONCATENATE("R6C",'Mapa final'!$O$51),"")</f>
        <v/>
      </c>
      <c r="K11" s="22" t="str">
        <f>IF(AND('Mapa final'!$Y$52="Muy Alta",'Mapa final'!$AA$52="Leve"),CONCATENATE("R6C",'Mapa final'!$O$52),"")</f>
        <v/>
      </c>
      <c r="L11" s="22" t="str">
        <f>IF(AND('Mapa final'!$Y$53="Muy Alta",'Mapa final'!$AA$53="Leve"),CONCATENATE("R6C",'Mapa final'!$O$53),"")</f>
        <v/>
      </c>
      <c r="M11" s="22" t="e">
        <f>IF(AND('Mapa final'!#REF!="Muy Alta",'Mapa final'!#REF!="Leve"),CONCATENATE("R6C",'Mapa final'!#REF!),"")</f>
        <v>#REF!</v>
      </c>
      <c r="N11" s="22" t="e">
        <f>IF(AND('Mapa final'!#REF!="Muy Alta",'Mapa final'!#REF!="Leve"),CONCATENATE("R6C",'Mapa final'!#REF!),"")</f>
        <v>#REF!</v>
      </c>
      <c r="O11" s="23" t="e">
        <f>IF(AND('Mapa final'!#REF!="Muy Alta",'Mapa final'!#REF!="Leve"),CONCATENATE("R6C",'Mapa final'!#REF!),"")</f>
        <v>#REF!</v>
      </c>
      <c r="P11" s="21" t="str">
        <f>IF(AND('Mapa final'!$Y$51="Muy Alta",'Mapa final'!$AA$51="Menor"),CONCATENATE("R6C",'Mapa final'!$O$51),"")</f>
        <v/>
      </c>
      <c r="Q11" s="22" t="str">
        <f>IF(AND('Mapa final'!$Y$52="Muy Alta",'Mapa final'!$AA$52="Menor"),CONCATENATE("R6C",'Mapa final'!$O$52),"")</f>
        <v/>
      </c>
      <c r="R11" s="22" t="str">
        <f>IF(AND('Mapa final'!$Y$53="Muy Alta",'Mapa final'!$AA$53="Menor"),CONCATENATE("R6C",'Mapa final'!$O$53),"")</f>
        <v/>
      </c>
      <c r="S11" s="22" t="e">
        <f>IF(AND('Mapa final'!#REF!="Muy Alta",'Mapa final'!#REF!="Menor"),CONCATENATE("R6C",'Mapa final'!#REF!),"")</f>
        <v>#REF!</v>
      </c>
      <c r="T11" s="22" t="e">
        <f>IF(AND('Mapa final'!#REF!="Muy Alta",'Mapa final'!#REF!="Menor"),CONCATENATE("R6C",'Mapa final'!#REF!),"")</f>
        <v>#REF!</v>
      </c>
      <c r="U11" s="23" t="e">
        <f>IF(AND('Mapa final'!#REF!="Muy Alta",'Mapa final'!#REF!="Menor"),CONCATENATE("R6C",'Mapa final'!#REF!),"")</f>
        <v>#REF!</v>
      </c>
      <c r="V11" s="21" t="str">
        <f>IF(AND('Mapa final'!$Y$51="Muy Alta",'Mapa final'!$AA$51="Moderado"),CONCATENATE("R6C",'Mapa final'!$O$51),"")</f>
        <v/>
      </c>
      <c r="W11" s="22" t="str">
        <f>IF(AND('Mapa final'!$Y$52="Muy Alta",'Mapa final'!$AA$52="Moderado"),CONCATENATE("R6C",'Mapa final'!$O$52),"")</f>
        <v/>
      </c>
      <c r="X11" s="22" t="str">
        <f>IF(AND('Mapa final'!$Y$53="Muy Alta",'Mapa final'!$AA$53="Moderado"),CONCATENATE("R6C",'Mapa final'!$O$53),"")</f>
        <v/>
      </c>
      <c r="Y11" s="22" t="e">
        <f>IF(AND('Mapa final'!#REF!="Muy Alta",'Mapa final'!#REF!="Moderado"),CONCATENATE("R6C",'Mapa final'!#REF!),"")</f>
        <v>#REF!</v>
      </c>
      <c r="Z11" s="22" t="e">
        <f>IF(AND('Mapa final'!#REF!="Muy Alta",'Mapa final'!#REF!="Moderado"),CONCATENATE("R6C",'Mapa final'!#REF!),"")</f>
        <v>#REF!</v>
      </c>
      <c r="AA11" s="23" t="e">
        <f>IF(AND('Mapa final'!#REF!="Muy Alta",'Mapa final'!#REF!="Moderado"),CONCATENATE("R6C",'Mapa final'!#REF!),"")</f>
        <v>#REF!</v>
      </c>
      <c r="AB11" s="21" t="str">
        <f>IF(AND('Mapa final'!$Y$51="Muy Alta",'Mapa final'!$AA$51="Mayor"),CONCATENATE("R6C",'Mapa final'!$O$51),"")</f>
        <v/>
      </c>
      <c r="AC11" s="22" t="str">
        <f>IF(AND('Mapa final'!$Y$52="Muy Alta",'Mapa final'!$AA$52="Mayor"),CONCATENATE("R6C",'Mapa final'!$O$52),"")</f>
        <v/>
      </c>
      <c r="AD11" s="22" t="str">
        <f>IF(AND('Mapa final'!$Y$53="Muy Alta",'Mapa final'!$AA$53="Mayor"),CONCATENATE("R6C",'Mapa final'!$O$53),"")</f>
        <v/>
      </c>
      <c r="AE11" s="22" t="e">
        <f>IF(AND('Mapa final'!#REF!="Muy Alta",'Mapa final'!#REF!="Mayor"),CONCATENATE("R6C",'Mapa final'!#REF!),"")</f>
        <v>#REF!</v>
      </c>
      <c r="AF11" s="22" t="e">
        <f>IF(AND('Mapa final'!#REF!="Muy Alta",'Mapa final'!#REF!="Mayor"),CONCATENATE("R6C",'Mapa final'!#REF!),"")</f>
        <v>#REF!</v>
      </c>
      <c r="AG11" s="23" t="e">
        <f>IF(AND('Mapa final'!#REF!="Muy Alta",'Mapa final'!#REF!="Mayor"),CONCATENATE("R6C",'Mapa final'!#REF!),"")</f>
        <v>#REF!</v>
      </c>
      <c r="AH11" s="24" t="str">
        <f>IF(AND('Mapa final'!$Y$51="Muy Alta",'Mapa final'!$AA$51="Catastrófico"),CONCATENATE("R6C",'Mapa final'!$O$51),"")</f>
        <v/>
      </c>
      <c r="AI11" s="25" t="str">
        <f>IF(AND('Mapa final'!$Y$52="Muy Alta",'Mapa final'!$AA$52="Catastrófico"),CONCATENATE("R6C",'Mapa final'!$O$52),"")</f>
        <v/>
      </c>
      <c r="AJ11" s="25" t="str">
        <f>IF(AND('Mapa final'!$Y$53="Muy Alta",'Mapa final'!$AA$53="Catastrófico"),CONCATENATE("R6C",'Mapa final'!$O$53),"")</f>
        <v/>
      </c>
      <c r="AK11" s="25" t="e">
        <f>IF(AND('Mapa final'!#REF!="Muy Alta",'Mapa final'!#REF!="Catastrófico"),CONCATENATE("R6C",'Mapa final'!#REF!),"")</f>
        <v>#REF!</v>
      </c>
      <c r="AL11" s="25" t="e">
        <f>IF(AND('Mapa final'!#REF!="Muy Alta",'Mapa final'!#REF!="Catastrófico"),CONCATENATE("R6C",'Mapa final'!#REF!),"")</f>
        <v>#REF!</v>
      </c>
      <c r="AM11" s="26" t="e">
        <f>IF(AND('Mapa final'!#REF!="Muy Alta",'Mapa final'!#REF!="Catastrófico"),CONCATENATE("R6C",'Mapa final'!#REF!),"")</f>
        <v>#REF!</v>
      </c>
      <c r="AN11" s="1"/>
      <c r="AO11" s="272"/>
      <c r="AP11" s="218"/>
      <c r="AQ11" s="218"/>
      <c r="AR11" s="218"/>
      <c r="AS11" s="218"/>
      <c r="AT11" s="273"/>
    </row>
    <row r="12" spans="2:46" ht="15" customHeight="1" x14ac:dyDescent="0.25">
      <c r="B12" s="263"/>
      <c r="C12" s="218"/>
      <c r="D12" s="219"/>
      <c r="E12" s="230"/>
      <c r="F12" s="218"/>
      <c r="G12" s="218"/>
      <c r="H12" s="218"/>
      <c r="I12" s="219"/>
      <c r="J12" s="21" t="e">
        <f>IF(AND('Mapa final'!#REF!="Muy Alta",'Mapa final'!#REF!="Leve"),CONCATENATE("R7C",'Mapa final'!#REF!),"")</f>
        <v>#REF!</v>
      </c>
      <c r="K12" s="22" t="e">
        <f>IF(AND('Mapa final'!#REF!="Muy Alta",'Mapa final'!#REF!="Leve"),CONCATENATE("R7C",'Mapa final'!#REF!),"")</f>
        <v>#REF!</v>
      </c>
      <c r="L12" s="22" t="e">
        <f>IF(AND('Mapa final'!#REF!="Muy Alta",'Mapa final'!#REF!="Leve"),CONCATENATE("R7C",'Mapa final'!#REF!),"")</f>
        <v>#REF!</v>
      </c>
      <c r="M12" s="22" t="e">
        <f>IF(AND('Mapa final'!#REF!="Muy Alta",'Mapa final'!#REF!="Leve"),CONCATENATE("R7C",'Mapa final'!#REF!),"")</f>
        <v>#REF!</v>
      </c>
      <c r="N12" s="22" t="e">
        <f>IF(AND('Mapa final'!#REF!="Muy Alta",'Mapa final'!#REF!="Leve"),CONCATENATE("R7C",'Mapa final'!#REF!),"")</f>
        <v>#REF!</v>
      </c>
      <c r="O12" s="23" t="e">
        <f>IF(AND('Mapa final'!#REF!="Muy Alta",'Mapa final'!#REF!="Leve"),CONCATENATE("R7C",'Mapa final'!#REF!),"")</f>
        <v>#REF!</v>
      </c>
      <c r="P12" s="21" t="e">
        <f>IF(AND('Mapa final'!#REF!="Muy Alta",'Mapa final'!#REF!="Menor"),CONCATENATE("R7C",'Mapa final'!#REF!),"")</f>
        <v>#REF!</v>
      </c>
      <c r="Q12" s="22" t="e">
        <f>IF(AND('Mapa final'!#REF!="Muy Alta",'Mapa final'!#REF!="Menor"),CONCATENATE("R7C",'Mapa final'!#REF!),"")</f>
        <v>#REF!</v>
      </c>
      <c r="R12" s="22" t="e">
        <f>IF(AND('Mapa final'!#REF!="Muy Alta",'Mapa final'!#REF!="Menor"),CONCATENATE("R7C",'Mapa final'!#REF!),"")</f>
        <v>#REF!</v>
      </c>
      <c r="S12" s="22" t="e">
        <f>IF(AND('Mapa final'!#REF!="Muy Alta",'Mapa final'!#REF!="Menor"),CONCATENATE("R7C",'Mapa final'!#REF!),"")</f>
        <v>#REF!</v>
      </c>
      <c r="T12" s="22" t="e">
        <f>IF(AND('Mapa final'!#REF!="Muy Alta",'Mapa final'!#REF!="Menor"),CONCATENATE("R7C",'Mapa final'!#REF!),"")</f>
        <v>#REF!</v>
      </c>
      <c r="U12" s="23" t="e">
        <f>IF(AND('Mapa final'!#REF!="Muy Alta",'Mapa final'!#REF!="Menor"),CONCATENATE("R7C",'Mapa final'!#REF!),"")</f>
        <v>#REF!</v>
      </c>
      <c r="V12" s="21" t="e">
        <f>IF(AND('Mapa final'!#REF!="Muy Alta",'Mapa final'!#REF!="Moderado"),CONCATENATE("R7C",'Mapa final'!#REF!),"")</f>
        <v>#REF!</v>
      </c>
      <c r="W12" s="22" t="e">
        <f>IF(AND('Mapa final'!#REF!="Muy Alta",'Mapa final'!#REF!="Moderado"),CONCATENATE("R7C",'Mapa final'!#REF!),"")</f>
        <v>#REF!</v>
      </c>
      <c r="X12" s="22" t="e">
        <f>IF(AND('Mapa final'!#REF!="Muy Alta",'Mapa final'!#REF!="Moderado"),CONCATENATE("R7C",'Mapa final'!#REF!),"")</f>
        <v>#REF!</v>
      </c>
      <c r="Y12" s="22" t="e">
        <f>IF(AND('Mapa final'!#REF!="Muy Alta",'Mapa final'!#REF!="Moderado"),CONCATENATE("R7C",'Mapa final'!#REF!),"")</f>
        <v>#REF!</v>
      </c>
      <c r="Z12" s="22" t="e">
        <f>IF(AND('Mapa final'!#REF!="Muy Alta",'Mapa final'!#REF!="Moderado"),CONCATENATE("R7C",'Mapa final'!#REF!),"")</f>
        <v>#REF!</v>
      </c>
      <c r="AA12" s="23" t="e">
        <f>IF(AND('Mapa final'!#REF!="Muy Alta",'Mapa final'!#REF!="Moderado"),CONCATENATE("R7C",'Mapa final'!#REF!),"")</f>
        <v>#REF!</v>
      </c>
      <c r="AB12" s="21" t="e">
        <f>IF(AND('Mapa final'!#REF!="Muy Alta",'Mapa final'!#REF!="Mayor"),CONCATENATE("R7C",'Mapa final'!#REF!),"")</f>
        <v>#REF!</v>
      </c>
      <c r="AC12" s="22" t="e">
        <f>IF(AND('Mapa final'!#REF!="Muy Alta",'Mapa final'!#REF!="Mayor"),CONCATENATE("R7C",'Mapa final'!#REF!),"")</f>
        <v>#REF!</v>
      </c>
      <c r="AD12" s="22" t="e">
        <f>IF(AND('Mapa final'!#REF!="Muy Alta",'Mapa final'!#REF!="Mayor"),CONCATENATE("R7C",'Mapa final'!#REF!),"")</f>
        <v>#REF!</v>
      </c>
      <c r="AE12" s="22" t="e">
        <f>IF(AND('Mapa final'!#REF!="Muy Alta",'Mapa final'!#REF!="Mayor"),CONCATENATE("R7C",'Mapa final'!#REF!),"")</f>
        <v>#REF!</v>
      </c>
      <c r="AF12" s="22" t="e">
        <f>IF(AND('Mapa final'!#REF!="Muy Alta",'Mapa final'!#REF!="Mayor"),CONCATENATE("R7C",'Mapa final'!#REF!),"")</f>
        <v>#REF!</v>
      </c>
      <c r="AG12" s="23" t="e">
        <f>IF(AND('Mapa final'!#REF!="Muy Alta",'Mapa final'!#REF!="Mayor"),CONCATENATE("R7C",'Mapa final'!#REF!),"")</f>
        <v>#REF!</v>
      </c>
      <c r="AH12" s="24" t="e">
        <f>IF(AND('Mapa final'!#REF!="Muy Alta",'Mapa final'!#REF!="Catastrófico"),CONCATENATE("R7C",'Mapa final'!#REF!),"")</f>
        <v>#REF!</v>
      </c>
      <c r="AI12" s="25" t="e">
        <f>IF(AND('Mapa final'!#REF!="Muy Alta",'Mapa final'!#REF!="Catastrófico"),CONCATENATE("R7C",'Mapa final'!#REF!),"")</f>
        <v>#REF!</v>
      </c>
      <c r="AJ12" s="25" t="e">
        <f>IF(AND('Mapa final'!#REF!="Muy Alta",'Mapa final'!#REF!="Catastrófico"),CONCATENATE("R7C",'Mapa final'!#REF!),"")</f>
        <v>#REF!</v>
      </c>
      <c r="AK12" s="25" t="e">
        <f>IF(AND('Mapa final'!#REF!="Muy Alta",'Mapa final'!#REF!="Catastrófico"),CONCATENATE("R7C",'Mapa final'!#REF!),"")</f>
        <v>#REF!</v>
      </c>
      <c r="AL12" s="25" t="e">
        <f>IF(AND('Mapa final'!#REF!="Muy Alta",'Mapa final'!#REF!="Catastrófico"),CONCATENATE("R7C",'Mapa final'!#REF!),"")</f>
        <v>#REF!</v>
      </c>
      <c r="AM12" s="26" t="e">
        <f>IF(AND('Mapa final'!#REF!="Muy Alta",'Mapa final'!#REF!="Catastrófico"),CONCATENATE("R7C",'Mapa final'!#REF!),"")</f>
        <v>#REF!</v>
      </c>
      <c r="AN12" s="1"/>
      <c r="AO12" s="272"/>
      <c r="AP12" s="218"/>
      <c r="AQ12" s="218"/>
      <c r="AR12" s="218"/>
      <c r="AS12" s="218"/>
      <c r="AT12" s="273"/>
    </row>
    <row r="13" spans="2:46" ht="15" customHeight="1" x14ac:dyDescent="0.25">
      <c r="B13" s="263"/>
      <c r="C13" s="218"/>
      <c r="D13" s="219"/>
      <c r="E13" s="230"/>
      <c r="F13" s="218"/>
      <c r="G13" s="218"/>
      <c r="H13" s="218"/>
      <c r="I13" s="219"/>
      <c r="J13" s="21" t="e">
        <f>IF(AND('Mapa final'!#REF!="Muy Alta",'Mapa final'!#REF!="Leve"),CONCATENATE("R8C",'Mapa final'!#REF!),"")</f>
        <v>#REF!</v>
      </c>
      <c r="K13" s="22" t="e">
        <f>IF(AND('Mapa final'!#REF!="Muy Alta",'Mapa final'!#REF!="Leve"),CONCATENATE("R8C",'Mapa final'!#REF!),"")</f>
        <v>#REF!</v>
      </c>
      <c r="L13" s="22" t="e">
        <f>IF(AND('Mapa final'!#REF!="Muy Alta",'Mapa final'!#REF!="Leve"),CONCATENATE("R8C",'Mapa final'!#REF!),"")</f>
        <v>#REF!</v>
      </c>
      <c r="M13" s="22" t="e">
        <f>IF(AND('Mapa final'!#REF!="Muy Alta",'Mapa final'!#REF!="Leve"),CONCATENATE("R8C",'Mapa final'!#REF!),"")</f>
        <v>#REF!</v>
      </c>
      <c r="N13" s="22" t="e">
        <f>IF(AND('Mapa final'!#REF!="Muy Alta",'Mapa final'!#REF!="Leve"),CONCATENATE("R8C",'Mapa final'!#REF!),"")</f>
        <v>#REF!</v>
      </c>
      <c r="O13" s="23" t="e">
        <f>IF(AND('Mapa final'!#REF!="Muy Alta",'Mapa final'!#REF!="Leve"),CONCATENATE("R8C",'Mapa final'!#REF!),"")</f>
        <v>#REF!</v>
      </c>
      <c r="P13" s="21" t="e">
        <f>IF(AND('Mapa final'!#REF!="Muy Alta",'Mapa final'!#REF!="Menor"),CONCATENATE("R8C",'Mapa final'!#REF!),"")</f>
        <v>#REF!</v>
      </c>
      <c r="Q13" s="22" t="e">
        <f>IF(AND('Mapa final'!#REF!="Muy Alta",'Mapa final'!#REF!="Menor"),CONCATENATE("R8C",'Mapa final'!#REF!),"")</f>
        <v>#REF!</v>
      </c>
      <c r="R13" s="22" t="e">
        <f>IF(AND('Mapa final'!#REF!="Muy Alta",'Mapa final'!#REF!="Menor"),CONCATENATE("R8C",'Mapa final'!#REF!),"")</f>
        <v>#REF!</v>
      </c>
      <c r="S13" s="22" t="e">
        <f>IF(AND('Mapa final'!#REF!="Muy Alta",'Mapa final'!#REF!="Menor"),CONCATENATE("R8C",'Mapa final'!#REF!),"")</f>
        <v>#REF!</v>
      </c>
      <c r="T13" s="22" t="e">
        <f>IF(AND('Mapa final'!#REF!="Muy Alta",'Mapa final'!#REF!="Menor"),CONCATENATE("R8C",'Mapa final'!#REF!),"")</f>
        <v>#REF!</v>
      </c>
      <c r="U13" s="23" t="e">
        <f>IF(AND('Mapa final'!#REF!="Muy Alta",'Mapa final'!#REF!="Menor"),CONCATENATE("R8C",'Mapa final'!#REF!),"")</f>
        <v>#REF!</v>
      </c>
      <c r="V13" s="21" t="e">
        <f>IF(AND('Mapa final'!#REF!="Muy Alta",'Mapa final'!#REF!="Moderado"),CONCATENATE("R8C",'Mapa final'!#REF!),"")</f>
        <v>#REF!</v>
      </c>
      <c r="W13" s="22" t="e">
        <f>IF(AND('Mapa final'!#REF!="Muy Alta",'Mapa final'!#REF!="Moderado"),CONCATENATE("R8C",'Mapa final'!#REF!),"")</f>
        <v>#REF!</v>
      </c>
      <c r="X13" s="22" t="e">
        <f>IF(AND('Mapa final'!#REF!="Muy Alta",'Mapa final'!#REF!="Moderado"),CONCATENATE("R8C",'Mapa final'!#REF!),"")</f>
        <v>#REF!</v>
      </c>
      <c r="Y13" s="22" t="e">
        <f>IF(AND('Mapa final'!#REF!="Muy Alta",'Mapa final'!#REF!="Moderado"),CONCATENATE("R8C",'Mapa final'!#REF!),"")</f>
        <v>#REF!</v>
      </c>
      <c r="Z13" s="22" t="e">
        <f>IF(AND('Mapa final'!#REF!="Muy Alta",'Mapa final'!#REF!="Moderado"),CONCATENATE("R8C",'Mapa final'!#REF!),"")</f>
        <v>#REF!</v>
      </c>
      <c r="AA13" s="23" t="e">
        <f>IF(AND('Mapa final'!#REF!="Muy Alta",'Mapa final'!#REF!="Moderado"),CONCATENATE("R8C",'Mapa final'!#REF!),"")</f>
        <v>#REF!</v>
      </c>
      <c r="AB13" s="21" t="e">
        <f>IF(AND('Mapa final'!#REF!="Muy Alta",'Mapa final'!#REF!="Mayor"),CONCATENATE("R8C",'Mapa final'!#REF!),"")</f>
        <v>#REF!</v>
      </c>
      <c r="AC13" s="22" t="e">
        <f>IF(AND('Mapa final'!#REF!="Muy Alta",'Mapa final'!#REF!="Mayor"),CONCATENATE("R8C",'Mapa final'!#REF!),"")</f>
        <v>#REF!</v>
      </c>
      <c r="AD13" s="22" t="e">
        <f>IF(AND('Mapa final'!#REF!="Muy Alta",'Mapa final'!#REF!="Mayor"),CONCATENATE("R8C",'Mapa final'!#REF!),"")</f>
        <v>#REF!</v>
      </c>
      <c r="AE13" s="22" t="e">
        <f>IF(AND('Mapa final'!#REF!="Muy Alta",'Mapa final'!#REF!="Mayor"),CONCATENATE("R8C",'Mapa final'!#REF!),"")</f>
        <v>#REF!</v>
      </c>
      <c r="AF13" s="22" t="e">
        <f>IF(AND('Mapa final'!#REF!="Muy Alta",'Mapa final'!#REF!="Mayor"),CONCATENATE("R8C",'Mapa final'!#REF!),"")</f>
        <v>#REF!</v>
      </c>
      <c r="AG13" s="23" t="e">
        <f>IF(AND('Mapa final'!#REF!="Muy Alta",'Mapa final'!#REF!="Mayor"),CONCATENATE("R8C",'Mapa final'!#REF!),"")</f>
        <v>#REF!</v>
      </c>
      <c r="AH13" s="24" t="e">
        <f>IF(AND('Mapa final'!#REF!="Muy Alta",'Mapa final'!#REF!="Catastrófico"),CONCATENATE("R8C",'Mapa final'!#REF!),"")</f>
        <v>#REF!</v>
      </c>
      <c r="AI13" s="25" t="e">
        <f>IF(AND('Mapa final'!#REF!="Muy Alta",'Mapa final'!#REF!="Catastrófico"),CONCATENATE("R8C",'Mapa final'!#REF!),"")</f>
        <v>#REF!</v>
      </c>
      <c r="AJ13" s="25" t="e">
        <f>IF(AND('Mapa final'!#REF!="Muy Alta",'Mapa final'!#REF!="Catastrófico"),CONCATENATE("R8C",'Mapa final'!#REF!),"")</f>
        <v>#REF!</v>
      </c>
      <c r="AK13" s="25" t="e">
        <f>IF(AND('Mapa final'!#REF!="Muy Alta",'Mapa final'!#REF!="Catastrófico"),CONCATENATE("R8C",'Mapa final'!#REF!),"")</f>
        <v>#REF!</v>
      </c>
      <c r="AL13" s="25" t="e">
        <f>IF(AND('Mapa final'!#REF!="Muy Alta",'Mapa final'!#REF!="Catastrófico"),CONCATENATE("R8C",'Mapa final'!#REF!),"")</f>
        <v>#REF!</v>
      </c>
      <c r="AM13" s="26" t="e">
        <f>IF(AND('Mapa final'!#REF!="Muy Alta",'Mapa final'!#REF!="Catastrófico"),CONCATENATE("R8C",'Mapa final'!#REF!),"")</f>
        <v>#REF!</v>
      </c>
      <c r="AN13" s="1"/>
      <c r="AO13" s="272"/>
      <c r="AP13" s="218"/>
      <c r="AQ13" s="218"/>
      <c r="AR13" s="218"/>
      <c r="AS13" s="218"/>
      <c r="AT13" s="273"/>
    </row>
    <row r="14" spans="2:46" ht="15" customHeight="1" x14ac:dyDescent="0.25">
      <c r="B14" s="263"/>
      <c r="C14" s="218"/>
      <c r="D14" s="219"/>
      <c r="E14" s="230"/>
      <c r="F14" s="218"/>
      <c r="G14" s="218"/>
      <c r="H14" s="218"/>
      <c r="I14" s="219"/>
      <c r="J14" s="21" t="e">
        <f>IF(AND('Mapa final'!#REF!="Muy Alta",'Mapa final'!#REF!="Leve"),CONCATENATE("R9C",'Mapa final'!#REF!),"")</f>
        <v>#REF!</v>
      </c>
      <c r="K14" s="22" t="e">
        <f>IF(AND('Mapa final'!#REF!="Muy Alta",'Mapa final'!#REF!="Leve"),CONCATENATE("R9C",'Mapa final'!#REF!),"")</f>
        <v>#REF!</v>
      </c>
      <c r="L14" s="22" t="e">
        <f>IF(AND('Mapa final'!#REF!="Muy Alta",'Mapa final'!#REF!="Leve"),CONCATENATE("R9C",'Mapa final'!#REF!),"")</f>
        <v>#REF!</v>
      </c>
      <c r="M14" s="22" t="e">
        <f>IF(AND('Mapa final'!#REF!="Muy Alta",'Mapa final'!#REF!="Leve"),CONCATENATE("R9C",'Mapa final'!#REF!),"")</f>
        <v>#REF!</v>
      </c>
      <c r="N14" s="22" t="e">
        <f>IF(AND('Mapa final'!#REF!="Muy Alta",'Mapa final'!#REF!="Leve"),CONCATENATE("R9C",'Mapa final'!#REF!),"")</f>
        <v>#REF!</v>
      </c>
      <c r="O14" s="23" t="e">
        <f>IF(AND('Mapa final'!#REF!="Muy Alta",'Mapa final'!#REF!="Leve"),CONCATENATE("R9C",'Mapa final'!#REF!),"")</f>
        <v>#REF!</v>
      </c>
      <c r="P14" s="21" t="e">
        <f>IF(AND('Mapa final'!#REF!="Muy Alta",'Mapa final'!#REF!="Menor"),CONCATENATE("R9C",'Mapa final'!#REF!),"")</f>
        <v>#REF!</v>
      </c>
      <c r="Q14" s="22" t="e">
        <f>IF(AND('Mapa final'!#REF!="Muy Alta",'Mapa final'!#REF!="Menor"),CONCATENATE("R9C",'Mapa final'!#REF!),"")</f>
        <v>#REF!</v>
      </c>
      <c r="R14" s="22" t="e">
        <f>IF(AND('Mapa final'!#REF!="Muy Alta",'Mapa final'!#REF!="Menor"),CONCATENATE("R9C",'Mapa final'!#REF!),"")</f>
        <v>#REF!</v>
      </c>
      <c r="S14" s="22" t="e">
        <f>IF(AND('Mapa final'!#REF!="Muy Alta",'Mapa final'!#REF!="Menor"),CONCATENATE("R9C",'Mapa final'!#REF!),"")</f>
        <v>#REF!</v>
      </c>
      <c r="T14" s="22" t="e">
        <f>IF(AND('Mapa final'!#REF!="Muy Alta",'Mapa final'!#REF!="Menor"),CONCATENATE("R9C",'Mapa final'!#REF!),"")</f>
        <v>#REF!</v>
      </c>
      <c r="U14" s="23" t="e">
        <f>IF(AND('Mapa final'!#REF!="Muy Alta",'Mapa final'!#REF!="Menor"),CONCATENATE("R9C",'Mapa final'!#REF!),"")</f>
        <v>#REF!</v>
      </c>
      <c r="V14" s="21" t="e">
        <f>IF(AND('Mapa final'!#REF!="Muy Alta",'Mapa final'!#REF!="Moderado"),CONCATENATE("R9C",'Mapa final'!#REF!),"")</f>
        <v>#REF!</v>
      </c>
      <c r="W14" s="22" t="e">
        <f>IF(AND('Mapa final'!#REF!="Muy Alta",'Mapa final'!#REF!="Moderado"),CONCATENATE("R9C",'Mapa final'!#REF!),"")</f>
        <v>#REF!</v>
      </c>
      <c r="X14" s="22" t="e">
        <f>IF(AND('Mapa final'!#REF!="Muy Alta",'Mapa final'!#REF!="Moderado"),CONCATENATE("R9C",'Mapa final'!#REF!),"")</f>
        <v>#REF!</v>
      </c>
      <c r="Y14" s="22" t="e">
        <f>IF(AND('Mapa final'!#REF!="Muy Alta",'Mapa final'!#REF!="Moderado"),CONCATENATE("R9C",'Mapa final'!#REF!),"")</f>
        <v>#REF!</v>
      </c>
      <c r="Z14" s="22" t="e">
        <f>IF(AND('Mapa final'!#REF!="Muy Alta",'Mapa final'!#REF!="Moderado"),CONCATENATE("R9C",'Mapa final'!#REF!),"")</f>
        <v>#REF!</v>
      </c>
      <c r="AA14" s="23" t="e">
        <f>IF(AND('Mapa final'!#REF!="Muy Alta",'Mapa final'!#REF!="Moderado"),CONCATENATE("R9C",'Mapa final'!#REF!),"")</f>
        <v>#REF!</v>
      </c>
      <c r="AB14" s="21" t="e">
        <f>IF(AND('Mapa final'!#REF!="Muy Alta",'Mapa final'!#REF!="Mayor"),CONCATENATE("R9C",'Mapa final'!#REF!),"")</f>
        <v>#REF!</v>
      </c>
      <c r="AC14" s="22" t="e">
        <f>IF(AND('Mapa final'!#REF!="Muy Alta",'Mapa final'!#REF!="Mayor"),CONCATENATE("R9C",'Mapa final'!#REF!),"")</f>
        <v>#REF!</v>
      </c>
      <c r="AD14" s="22" t="e">
        <f>IF(AND('Mapa final'!#REF!="Muy Alta",'Mapa final'!#REF!="Mayor"),CONCATENATE("R9C",'Mapa final'!#REF!),"")</f>
        <v>#REF!</v>
      </c>
      <c r="AE14" s="22" t="e">
        <f>IF(AND('Mapa final'!#REF!="Muy Alta",'Mapa final'!#REF!="Mayor"),CONCATENATE("R9C",'Mapa final'!#REF!),"")</f>
        <v>#REF!</v>
      </c>
      <c r="AF14" s="22" t="e">
        <f>IF(AND('Mapa final'!#REF!="Muy Alta",'Mapa final'!#REF!="Mayor"),CONCATENATE("R9C",'Mapa final'!#REF!),"")</f>
        <v>#REF!</v>
      </c>
      <c r="AG14" s="23" t="e">
        <f>IF(AND('Mapa final'!#REF!="Muy Alta",'Mapa final'!#REF!="Mayor"),CONCATENATE("R9C",'Mapa final'!#REF!),"")</f>
        <v>#REF!</v>
      </c>
      <c r="AH14" s="24" t="e">
        <f>IF(AND('Mapa final'!#REF!="Muy Alta",'Mapa final'!#REF!="Catastrófico"),CONCATENATE("R9C",'Mapa final'!#REF!),"")</f>
        <v>#REF!</v>
      </c>
      <c r="AI14" s="25" t="e">
        <f>IF(AND('Mapa final'!#REF!="Muy Alta",'Mapa final'!#REF!="Catastrófico"),CONCATENATE("R9C",'Mapa final'!#REF!),"")</f>
        <v>#REF!</v>
      </c>
      <c r="AJ14" s="25" t="e">
        <f>IF(AND('Mapa final'!#REF!="Muy Alta",'Mapa final'!#REF!="Catastrófico"),CONCATENATE("R9C",'Mapa final'!#REF!),"")</f>
        <v>#REF!</v>
      </c>
      <c r="AK14" s="25" t="e">
        <f>IF(AND('Mapa final'!#REF!="Muy Alta",'Mapa final'!#REF!="Catastrófico"),CONCATENATE("R9C",'Mapa final'!#REF!),"")</f>
        <v>#REF!</v>
      </c>
      <c r="AL14" s="25" t="e">
        <f>IF(AND('Mapa final'!#REF!="Muy Alta",'Mapa final'!#REF!="Catastrófico"),CONCATENATE("R9C",'Mapa final'!#REF!),"")</f>
        <v>#REF!</v>
      </c>
      <c r="AM14" s="26" t="e">
        <f>IF(AND('Mapa final'!#REF!="Muy Alta",'Mapa final'!#REF!="Catastrófico"),CONCATENATE("R9C",'Mapa final'!#REF!),"")</f>
        <v>#REF!</v>
      </c>
      <c r="AN14" s="1"/>
      <c r="AO14" s="272"/>
      <c r="AP14" s="218"/>
      <c r="AQ14" s="218"/>
      <c r="AR14" s="218"/>
      <c r="AS14" s="218"/>
      <c r="AT14" s="273"/>
    </row>
    <row r="15" spans="2:46" ht="15.75" customHeight="1" x14ac:dyDescent="0.25">
      <c r="B15" s="263"/>
      <c r="C15" s="218"/>
      <c r="D15" s="219"/>
      <c r="E15" s="253"/>
      <c r="F15" s="254"/>
      <c r="G15" s="254"/>
      <c r="H15" s="254"/>
      <c r="I15" s="257"/>
      <c r="J15" s="27" t="e">
        <f>IF(AND('Mapa final'!#REF!="Muy Alta",'Mapa final'!#REF!="Leve"),CONCATENATE("R10C",'Mapa final'!#REF!),"")</f>
        <v>#REF!</v>
      </c>
      <c r="K15" s="28" t="e">
        <f>IF(AND('Mapa final'!#REF!="Muy Alta",'Mapa final'!#REF!="Leve"),CONCATENATE("R10C",'Mapa final'!#REF!),"")</f>
        <v>#REF!</v>
      </c>
      <c r="L15" s="28" t="e">
        <f>IF(AND('Mapa final'!#REF!="Muy Alta",'Mapa final'!#REF!="Leve"),CONCATENATE("R10C",'Mapa final'!#REF!),"")</f>
        <v>#REF!</v>
      </c>
      <c r="M15" s="28" t="e">
        <f>IF(AND('Mapa final'!#REF!="Muy Alta",'Mapa final'!#REF!="Leve"),CONCATENATE("R10C",'Mapa final'!#REF!),"")</f>
        <v>#REF!</v>
      </c>
      <c r="N15" s="28" t="e">
        <f>IF(AND('Mapa final'!#REF!="Muy Alta",'Mapa final'!#REF!="Leve"),CONCATENATE("R10C",'Mapa final'!#REF!),"")</f>
        <v>#REF!</v>
      </c>
      <c r="O15" s="29" t="e">
        <f>IF(AND('Mapa final'!#REF!="Muy Alta",'Mapa final'!#REF!="Leve"),CONCATENATE("R10C",'Mapa final'!#REF!),"")</f>
        <v>#REF!</v>
      </c>
      <c r="P15" s="21" t="e">
        <f>IF(AND('Mapa final'!#REF!="Muy Alta",'Mapa final'!#REF!="Menor"),CONCATENATE("R10C",'Mapa final'!#REF!),"")</f>
        <v>#REF!</v>
      </c>
      <c r="Q15" s="22" t="e">
        <f>IF(AND('Mapa final'!#REF!="Muy Alta",'Mapa final'!#REF!="Menor"),CONCATENATE("R10C",'Mapa final'!#REF!),"")</f>
        <v>#REF!</v>
      </c>
      <c r="R15" s="22" t="e">
        <f>IF(AND('Mapa final'!#REF!="Muy Alta",'Mapa final'!#REF!="Menor"),CONCATENATE("R10C",'Mapa final'!#REF!),"")</f>
        <v>#REF!</v>
      </c>
      <c r="S15" s="22" t="e">
        <f>IF(AND('Mapa final'!#REF!="Muy Alta",'Mapa final'!#REF!="Menor"),CONCATENATE("R10C",'Mapa final'!#REF!),"")</f>
        <v>#REF!</v>
      </c>
      <c r="T15" s="22" t="e">
        <f>IF(AND('Mapa final'!#REF!="Muy Alta",'Mapa final'!#REF!="Menor"),CONCATENATE("R10C",'Mapa final'!#REF!),"")</f>
        <v>#REF!</v>
      </c>
      <c r="U15" s="23" t="e">
        <f>IF(AND('Mapa final'!#REF!="Muy Alta",'Mapa final'!#REF!="Menor"),CONCATENATE("R10C",'Mapa final'!#REF!),"")</f>
        <v>#REF!</v>
      </c>
      <c r="V15" s="27" t="e">
        <f>IF(AND('Mapa final'!#REF!="Muy Alta",'Mapa final'!#REF!="Moderado"),CONCATENATE("R10C",'Mapa final'!#REF!),"")</f>
        <v>#REF!</v>
      </c>
      <c r="W15" s="28" t="e">
        <f>IF(AND('Mapa final'!#REF!="Muy Alta",'Mapa final'!#REF!="Moderado"),CONCATENATE("R10C",'Mapa final'!#REF!),"")</f>
        <v>#REF!</v>
      </c>
      <c r="X15" s="28" t="e">
        <f>IF(AND('Mapa final'!#REF!="Muy Alta",'Mapa final'!#REF!="Moderado"),CONCATENATE("R10C",'Mapa final'!#REF!),"")</f>
        <v>#REF!</v>
      </c>
      <c r="Y15" s="28" t="e">
        <f>IF(AND('Mapa final'!#REF!="Muy Alta",'Mapa final'!#REF!="Moderado"),CONCATENATE("R10C",'Mapa final'!#REF!),"")</f>
        <v>#REF!</v>
      </c>
      <c r="Z15" s="28" t="e">
        <f>IF(AND('Mapa final'!#REF!="Muy Alta",'Mapa final'!#REF!="Moderado"),CONCATENATE("R10C",'Mapa final'!#REF!),"")</f>
        <v>#REF!</v>
      </c>
      <c r="AA15" s="29" t="e">
        <f>IF(AND('Mapa final'!#REF!="Muy Alta",'Mapa final'!#REF!="Moderado"),CONCATENATE("R10C",'Mapa final'!#REF!),"")</f>
        <v>#REF!</v>
      </c>
      <c r="AB15" s="21" t="e">
        <f>IF(AND('Mapa final'!#REF!="Muy Alta",'Mapa final'!#REF!="Mayor"),CONCATENATE("R10C",'Mapa final'!#REF!),"")</f>
        <v>#REF!</v>
      </c>
      <c r="AC15" s="22" t="e">
        <f>IF(AND('Mapa final'!#REF!="Muy Alta",'Mapa final'!#REF!="Mayor"),CONCATENATE("R10C",'Mapa final'!#REF!),"")</f>
        <v>#REF!</v>
      </c>
      <c r="AD15" s="22" t="e">
        <f>IF(AND('Mapa final'!#REF!="Muy Alta",'Mapa final'!#REF!="Mayor"),CONCATENATE("R10C",'Mapa final'!#REF!),"")</f>
        <v>#REF!</v>
      </c>
      <c r="AE15" s="22" t="e">
        <f>IF(AND('Mapa final'!#REF!="Muy Alta",'Mapa final'!#REF!="Mayor"),CONCATENATE("R10C",'Mapa final'!#REF!),"")</f>
        <v>#REF!</v>
      </c>
      <c r="AF15" s="22" t="e">
        <f>IF(AND('Mapa final'!#REF!="Muy Alta",'Mapa final'!#REF!="Mayor"),CONCATENATE("R10C",'Mapa final'!#REF!),"")</f>
        <v>#REF!</v>
      </c>
      <c r="AG15" s="23" t="e">
        <f>IF(AND('Mapa final'!#REF!="Muy Alta",'Mapa final'!#REF!="Mayor"),CONCATENATE("R10C",'Mapa final'!#REF!),"")</f>
        <v>#REF!</v>
      </c>
      <c r="AH15" s="30" t="e">
        <f>IF(AND('Mapa final'!#REF!="Muy Alta",'Mapa final'!#REF!="Catastrófico"),CONCATENATE("R10C",'Mapa final'!#REF!),"")</f>
        <v>#REF!</v>
      </c>
      <c r="AI15" s="31" t="e">
        <f>IF(AND('Mapa final'!#REF!="Muy Alta",'Mapa final'!#REF!="Catastrófico"),CONCATENATE("R10C",'Mapa final'!#REF!),"")</f>
        <v>#REF!</v>
      </c>
      <c r="AJ15" s="31" t="e">
        <f>IF(AND('Mapa final'!#REF!="Muy Alta",'Mapa final'!#REF!="Catastrófico"),CONCATENATE("R10C",'Mapa final'!#REF!),"")</f>
        <v>#REF!</v>
      </c>
      <c r="AK15" s="31" t="e">
        <f>IF(AND('Mapa final'!#REF!="Muy Alta",'Mapa final'!#REF!="Catastrófico"),CONCATENATE("R10C",'Mapa final'!#REF!),"")</f>
        <v>#REF!</v>
      </c>
      <c r="AL15" s="31" t="e">
        <f>IF(AND('Mapa final'!#REF!="Muy Alta",'Mapa final'!#REF!="Catastrófico"),CONCATENATE("R10C",'Mapa final'!#REF!),"")</f>
        <v>#REF!</v>
      </c>
      <c r="AM15" s="32" t="e">
        <f>IF(AND('Mapa final'!#REF!="Muy Alta",'Mapa final'!#REF!="Catastrófico"),CONCATENATE("R10C",'Mapa final'!#REF!),"")</f>
        <v>#REF!</v>
      </c>
      <c r="AN15" s="1"/>
      <c r="AO15" s="274"/>
      <c r="AP15" s="275"/>
      <c r="AQ15" s="275"/>
      <c r="AR15" s="275"/>
      <c r="AS15" s="275"/>
      <c r="AT15" s="276"/>
    </row>
    <row r="16" spans="2:46" ht="15" customHeight="1" x14ac:dyDescent="0.25">
      <c r="B16" s="263"/>
      <c r="C16" s="218"/>
      <c r="D16" s="219"/>
      <c r="E16" s="281" t="s">
        <v>97</v>
      </c>
      <c r="F16" s="252"/>
      <c r="G16" s="252"/>
      <c r="H16" s="252"/>
      <c r="I16" s="252"/>
      <c r="J16" s="33" t="str">
        <f>IF(AND('Mapa final'!$Y$16="Alta",'Mapa final'!$AA$16="Leve"),CONCATENATE("R1C",'Mapa final'!$O$16),"")</f>
        <v/>
      </c>
      <c r="K16" s="34" t="str">
        <f>IF(AND('Mapa final'!$Y$17="Alta",'Mapa final'!$AA$17="Leve"),CONCATENATE("R1C",'Mapa final'!$O$17),"")</f>
        <v/>
      </c>
      <c r="L16" s="34" t="str">
        <f>IF(AND('Mapa final'!$Y$18="Alta",'Mapa final'!$AA$18="Leve"),CONCATENATE("R1C",'Mapa final'!$O$18),"")</f>
        <v/>
      </c>
      <c r="M16" s="34" t="e">
        <f>IF(AND('Mapa final'!#REF!="Alta",'Mapa final'!#REF!="Leve"),CONCATENATE("R1C",'Mapa final'!#REF!),"")</f>
        <v>#REF!</v>
      </c>
      <c r="N16" s="34" t="e">
        <f>IF(AND('Mapa final'!#REF!="Alta",'Mapa final'!#REF!="Leve"),CONCATENATE("R1C",'Mapa final'!#REF!),"")</f>
        <v>#REF!</v>
      </c>
      <c r="O16" s="35" t="e">
        <f>IF(AND('Mapa final'!#REF!="Alta",'Mapa final'!#REF!="Leve"),CONCATENATE("R1C",'Mapa final'!#REF!),"")</f>
        <v>#REF!</v>
      </c>
      <c r="P16" s="33" t="str">
        <f>IF(AND('Mapa final'!$Y$16="Alta",'Mapa final'!$AA$16="Menor"),CONCATENATE("R1C",'Mapa final'!$O$16),"")</f>
        <v/>
      </c>
      <c r="Q16" s="34" t="str">
        <f>IF(AND('Mapa final'!$Y$17="Alta",'Mapa final'!$AA$17="Menor"),CONCATENATE("R1C",'Mapa final'!$O$17),"")</f>
        <v/>
      </c>
      <c r="R16" s="34" t="str">
        <f>IF(AND('Mapa final'!$Y$18="Alta",'Mapa final'!$AA$18="Menor"),CONCATENATE("R1C",'Mapa final'!$O$18),"")</f>
        <v/>
      </c>
      <c r="S16" s="34" t="e">
        <f>IF(AND('Mapa final'!#REF!="Alta",'Mapa final'!#REF!="Menor"),CONCATENATE("R1C",'Mapa final'!#REF!),"")</f>
        <v>#REF!</v>
      </c>
      <c r="T16" s="34" t="e">
        <f>IF(AND('Mapa final'!#REF!="Alta",'Mapa final'!#REF!="Menor"),CONCATENATE("R1C",'Mapa final'!#REF!),"")</f>
        <v>#REF!</v>
      </c>
      <c r="U16" s="35" t="e">
        <f>IF(AND('Mapa final'!#REF!="Alta",'Mapa final'!#REF!="Menor"),CONCATENATE("R1C",'Mapa final'!#REF!),"")</f>
        <v>#REF!</v>
      </c>
      <c r="V16" s="15" t="str">
        <f>IF(AND('Mapa final'!$Y$16="Alta",'Mapa final'!$AA$16="Moderado"),CONCATENATE("R1C",'Mapa final'!$O$16),"")</f>
        <v/>
      </c>
      <c r="W16" s="16" t="str">
        <f>IF(AND('Mapa final'!$Y$17="Alta",'Mapa final'!$AA$17="Moderado"),CONCATENATE("R1C",'Mapa final'!$O$17),"")</f>
        <v/>
      </c>
      <c r="X16" s="16" t="str">
        <f>IF(AND('Mapa final'!$Y$18="Alta",'Mapa final'!$AA$18="Moderado"),CONCATENATE("R1C",'Mapa final'!$O$18),"")</f>
        <v/>
      </c>
      <c r="Y16" s="16" t="e">
        <f>IF(AND('Mapa final'!#REF!="Alta",'Mapa final'!#REF!="Moderado"),CONCATENATE("R1C",'Mapa final'!#REF!),"")</f>
        <v>#REF!</v>
      </c>
      <c r="Z16" s="16" t="e">
        <f>IF(AND('Mapa final'!#REF!="Alta",'Mapa final'!#REF!="Moderado"),CONCATENATE("R1C",'Mapa final'!#REF!),"")</f>
        <v>#REF!</v>
      </c>
      <c r="AA16" s="17" t="e">
        <f>IF(AND('Mapa final'!#REF!="Alta",'Mapa final'!#REF!="Moderado"),CONCATENATE("R1C",'Mapa final'!#REF!),"")</f>
        <v>#REF!</v>
      </c>
      <c r="AB16" s="15" t="str">
        <f>IF(AND('Mapa final'!$Y$16="Alta",'Mapa final'!$AA$16="Mayor"),CONCATENATE("R1C",'Mapa final'!$O$16),"")</f>
        <v/>
      </c>
      <c r="AC16" s="16" t="str">
        <f>IF(AND('Mapa final'!$Y$17="Alta",'Mapa final'!$AA$17="Mayor"),CONCATENATE("R1C",'Mapa final'!$O$17),"")</f>
        <v/>
      </c>
      <c r="AD16" s="16" t="str">
        <f>IF(AND('Mapa final'!$Y$18="Alta",'Mapa final'!$AA$18="Mayor"),CONCATENATE("R1C",'Mapa final'!$O$18),"")</f>
        <v/>
      </c>
      <c r="AE16" s="16" t="e">
        <f>IF(AND('Mapa final'!#REF!="Alta",'Mapa final'!#REF!="Mayor"),CONCATENATE("R1C",'Mapa final'!#REF!),"")</f>
        <v>#REF!</v>
      </c>
      <c r="AF16" s="16" t="e">
        <f>IF(AND('Mapa final'!#REF!="Alta",'Mapa final'!#REF!="Mayor"),CONCATENATE("R1C",'Mapa final'!#REF!),"")</f>
        <v>#REF!</v>
      </c>
      <c r="AG16" s="17" t="e">
        <f>IF(AND('Mapa final'!#REF!="Alta",'Mapa final'!#REF!="Mayor"),CONCATENATE("R1C",'Mapa final'!#REF!),"")</f>
        <v>#REF!</v>
      </c>
      <c r="AH16" s="18" t="str">
        <f>IF(AND('Mapa final'!$Y$16="Alta",'Mapa final'!$AA$16="Catastrófico"),CONCATENATE("R1C",'Mapa final'!$O$16),"")</f>
        <v/>
      </c>
      <c r="AI16" s="19" t="str">
        <f>IF(AND('Mapa final'!$Y$17="Alta",'Mapa final'!$AA$17="Catastrófico"),CONCATENATE("R1C",'Mapa final'!$O$17),"")</f>
        <v/>
      </c>
      <c r="AJ16" s="19" t="str">
        <f>IF(AND('Mapa final'!$Y$18="Alta",'Mapa final'!$AA$18="Catastrófico"),CONCATENATE("R1C",'Mapa final'!$O$18),"")</f>
        <v/>
      </c>
      <c r="AK16" s="19" t="e">
        <f>IF(AND('Mapa final'!#REF!="Alta",'Mapa final'!#REF!="Catastrófico"),CONCATENATE("R1C",'Mapa final'!#REF!),"")</f>
        <v>#REF!</v>
      </c>
      <c r="AL16" s="19" t="e">
        <f>IF(AND('Mapa final'!#REF!="Alta",'Mapa final'!#REF!="Catastrófico"),CONCATENATE("R1C",'Mapa final'!#REF!),"")</f>
        <v>#REF!</v>
      </c>
      <c r="AM16" s="20" t="e">
        <f>IF(AND('Mapa final'!#REF!="Alta",'Mapa final'!#REF!="Catastrófico"),CONCATENATE("R1C",'Mapa final'!#REF!),"")</f>
        <v>#REF!</v>
      </c>
      <c r="AN16" s="1"/>
      <c r="AO16" s="282" t="s">
        <v>98</v>
      </c>
      <c r="AP16" s="270"/>
      <c r="AQ16" s="270"/>
      <c r="AR16" s="270"/>
      <c r="AS16" s="270"/>
      <c r="AT16" s="271"/>
    </row>
    <row r="17" spans="2:46" ht="15" customHeight="1" x14ac:dyDescent="0.25">
      <c r="B17" s="263"/>
      <c r="C17" s="218"/>
      <c r="D17" s="219"/>
      <c r="E17" s="230"/>
      <c r="F17" s="218"/>
      <c r="G17" s="218"/>
      <c r="H17" s="218"/>
      <c r="I17" s="218"/>
      <c r="J17" s="36" t="str">
        <f>IF(AND('Mapa final'!$Y$23="Alta",'Mapa final'!$AA$23="Leve"),CONCATENATE("R2C",'Mapa final'!$O$23),"")</f>
        <v/>
      </c>
      <c r="K17" s="37" t="e">
        <f>IF(AND('Mapa final'!#REF!="Alta",'Mapa final'!#REF!="Leve"),CONCATENATE("R2C",'Mapa final'!#REF!),"")</f>
        <v>#REF!</v>
      </c>
      <c r="L17" s="37" t="e">
        <f>IF(AND('Mapa final'!#REF!="Alta",'Mapa final'!#REF!="Leve"),CONCATENATE("R2C",'Mapa final'!#REF!),"")</f>
        <v>#REF!</v>
      </c>
      <c r="M17" s="37" t="e">
        <f>IF(AND('Mapa final'!#REF!="Alta",'Mapa final'!#REF!="Leve"),CONCATENATE("R2C",'Mapa final'!#REF!),"")</f>
        <v>#REF!</v>
      </c>
      <c r="N17" s="37" t="str">
        <f>IF(AND('Mapa final'!$Y$24="Alta",'Mapa final'!$AA$24="Leve"),CONCATENATE("R2C",'Mapa final'!$O$24),"")</f>
        <v/>
      </c>
      <c r="O17" s="38" t="str">
        <f>IF(AND('Mapa final'!$Y$25="Alta",'Mapa final'!$AA$25="Leve"),CONCATENATE("R2C",'Mapa final'!$O$25),"")</f>
        <v/>
      </c>
      <c r="P17" s="36" t="str">
        <f>IF(AND('Mapa final'!$Y$23="Alta",'Mapa final'!$AA$23="Menor"),CONCATENATE("R2C",'Mapa final'!$O$23),"")</f>
        <v/>
      </c>
      <c r="Q17" s="37" t="e">
        <f>IF(AND('Mapa final'!#REF!="Alta",'Mapa final'!#REF!="Menor"),CONCATENATE("R2C",'Mapa final'!#REF!),"")</f>
        <v>#REF!</v>
      </c>
      <c r="R17" s="37" t="e">
        <f>IF(AND('Mapa final'!#REF!="Alta",'Mapa final'!#REF!="Menor"),CONCATENATE("R2C",'Mapa final'!#REF!),"")</f>
        <v>#REF!</v>
      </c>
      <c r="S17" s="37" t="e">
        <f>IF(AND('Mapa final'!#REF!="Alta",'Mapa final'!#REF!="Menor"),CONCATENATE("R2C",'Mapa final'!#REF!),"")</f>
        <v>#REF!</v>
      </c>
      <c r="T17" s="37" t="str">
        <f>IF(AND('Mapa final'!$Y$24="Alta",'Mapa final'!$AA$24="Menor"),CONCATENATE("R2C",'Mapa final'!$O$24),"")</f>
        <v/>
      </c>
      <c r="U17" s="38" t="str">
        <f>IF(AND('Mapa final'!$Y$25="Alta",'Mapa final'!$AA$25="Menor"),CONCATENATE("R2C",'Mapa final'!$O$25),"")</f>
        <v/>
      </c>
      <c r="V17" s="21" t="str">
        <f>IF(AND('Mapa final'!$Y$23="Alta",'Mapa final'!$AA$23="Moderado"),CONCATENATE("R2C",'Mapa final'!$O$23),"")</f>
        <v/>
      </c>
      <c r="W17" s="22" t="e">
        <f>IF(AND('Mapa final'!#REF!="Alta",'Mapa final'!#REF!="Moderado"),CONCATENATE("R2C",'Mapa final'!#REF!),"")</f>
        <v>#REF!</v>
      </c>
      <c r="X17" s="22" t="e">
        <f>IF(AND('Mapa final'!#REF!="Alta",'Mapa final'!#REF!="Moderado"),CONCATENATE("R2C",'Mapa final'!#REF!),"")</f>
        <v>#REF!</v>
      </c>
      <c r="Y17" s="22" t="e">
        <f>IF(AND('Mapa final'!#REF!="Alta",'Mapa final'!#REF!="Moderado"),CONCATENATE("R2C",'Mapa final'!#REF!),"")</f>
        <v>#REF!</v>
      </c>
      <c r="Z17" s="22" t="str">
        <f>IF(AND('Mapa final'!$Y$24="Alta",'Mapa final'!$AA$24="Moderado"),CONCATENATE("R2C",'Mapa final'!$O$24),"")</f>
        <v/>
      </c>
      <c r="AA17" s="23" t="str">
        <f>IF(AND('Mapa final'!$Y$25="Alta",'Mapa final'!$AA$25="Moderado"),CONCATENATE("R2C",'Mapa final'!$O$25),"")</f>
        <v/>
      </c>
      <c r="AB17" s="21" t="str">
        <f>IF(AND('Mapa final'!$Y$23="Alta",'Mapa final'!$AA$23="Mayor"),CONCATENATE("R2C",'Mapa final'!$O$23),"")</f>
        <v/>
      </c>
      <c r="AC17" s="22" t="e">
        <f>IF(AND('Mapa final'!#REF!="Alta",'Mapa final'!#REF!="Mayor"),CONCATENATE("R2C",'Mapa final'!#REF!),"")</f>
        <v>#REF!</v>
      </c>
      <c r="AD17" s="22" t="e">
        <f>IF(AND('Mapa final'!#REF!="Alta",'Mapa final'!#REF!="Mayor"),CONCATENATE("R2C",'Mapa final'!#REF!),"")</f>
        <v>#REF!</v>
      </c>
      <c r="AE17" s="22" t="e">
        <f>IF(AND('Mapa final'!#REF!="Alta",'Mapa final'!#REF!="Mayor"),CONCATENATE("R2C",'Mapa final'!#REF!),"")</f>
        <v>#REF!</v>
      </c>
      <c r="AF17" s="22" t="str">
        <f>IF(AND('Mapa final'!$Y$24="Alta",'Mapa final'!$AA$24="Mayor"),CONCATENATE("R2C",'Mapa final'!$O$24),"")</f>
        <v/>
      </c>
      <c r="AG17" s="23" t="str">
        <f>IF(AND('Mapa final'!$Y$25="Alta",'Mapa final'!$AA$25="Mayor"),CONCATENATE("R2C",'Mapa final'!$O$25),"")</f>
        <v/>
      </c>
      <c r="AH17" s="24" t="str">
        <f>IF(AND('Mapa final'!$Y$23="Alta",'Mapa final'!$AA$23="Catastrófico"),CONCATENATE("R2C",'Mapa final'!$O$23),"")</f>
        <v/>
      </c>
      <c r="AI17" s="25" t="e">
        <f>IF(AND('Mapa final'!#REF!="Alta",'Mapa final'!#REF!="Catastrófico"),CONCATENATE("R2C",'Mapa final'!#REF!),"")</f>
        <v>#REF!</v>
      </c>
      <c r="AJ17" s="25" t="e">
        <f>IF(AND('Mapa final'!#REF!="Alta",'Mapa final'!#REF!="Catastrófico"),CONCATENATE("R2C",'Mapa final'!#REF!),"")</f>
        <v>#REF!</v>
      </c>
      <c r="AK17" s="25" t="e">
        <f>IF(AND('Mapa final'!#REF!="Alta",'Mapa final'!#REF!="Catastrófico"),CONCATENATE("R2C",'Mapa final'!#REF!),"")</f>
        <v>#REF!</v>
      </c>
      <c r="AL17" s="25" t="str">
        <f>IF(AND('Mapa final'!$Y$24="Alta",'Mapa final'!$AA$24="Catastrófico"),CONCATENATE("R2C",'Mapa final'!$O$24),"")</f>
        <v/>
      </c>
      <c r="AM17" s="26" t="str">
        <f>IF(AND('Mapa final'!$Y$25="Alta",'Mapa final'!$AA$25="Catastrófico"),CONCATENATE("R2C",'Mapa final'!$O$25),"")</f>
        <v/>
      </c>
      <c r="AN17" s="1"/>
      <c r="AO17" s="272"/>
      <c r="AP17" s="218"/>
      <c r="AQ17" s="218"/>
      <c r="AR17" s="218"/>
      <c r="AS17" s="218"/>
      <c r="AT17" s="273"/>
    </row>
    <row r="18" spans="2:46" ht="15" customHeight="1" x14ac:dyDescent="0.25">
      <c r="B18" s="263"/>
      <c r="C18" s="218"/>
      <c r="D18" s="219"/>
      <c r="E18" s="230"/>
      <c r="F18" s="218"/>
      <c r="G18" s="218"/>
      <c r="H18" s="218"/>
      <c r="I18" s="218"/>
      <c r="J18" s="36" t="str">
        <f>IF(AND('Mapa final'!$Y$30="Alta",'Mapa final'!$AA$30="Leve"),CONCATENATE("R3C",'Mapa final'!$O$30),"")</f>
        <v/>
      </c>
      <c r="K18" s="37" t="str">
        <f>IF(AND('Mapa final'!$Y$31="Alta",'Mapa final'!$AA$31="Leve"),CONCATENATE("R3C",'Mapa final'!$O$31),"")</f>
        <v/>
      </c>
      <c r="L18" s="37" t="str">
        <f>IF(AND('Mapa final'!$Y$32="Alta",'Mapa final'!$AA$32="Leve"),CONCATENATE("R3C",'Mapa final'!$O$32),"")</f>
        <v/>
      </c>
      <c r="M18" s="37" t="e">
        <f>IF(AND('Mapa final'!#REF!="Alta",'Mapa final'!#REF!="Leve"),CONCATENATE("R3C",'Mapa final'!#REF!),"")</f>
        <v>#REF!</v>
      </c>
      <c r="N18" s="37" t="e">
        <f>IF(AND('Mapa final'!#REF!="Alta",'Mapa final'!#REF!="Leve"),CONCATENATE("R3C",'Mapa final'!#REF!),"")</f>
        <v>#REF!</v>
      </c>
      <c r="O18" s="38" t="e">
        <f>IF(AND('Mapa final'!#REF!="Alta",'Mapa final'!#REF!="Leve"),CONCATENATE("R3C",'Mapa final'!#REF!),"")</f>
        <v>#REF!</v>
      </c>
      <c r="P18" s="36" t="str">
        <f>IF(AND('Mapa final'!$Y$30="Alta",'Mapa final'!$AA$30="Menor"),CONCATENATE("R3C",'Mapa final'!$O$30),"")</f>
        <v/>
      </c>
      <c r="Q18" s="37" t="str">
        <f>IF(AND('Mapa final'!$Y$31="Alta",'Mapa final'!$AA$31="Menor"),CONCATENATE("R3C",'Mapa final'!$O$31),"")</f>
        <v/>
      </c>
      <c r="R18" s="37" t="str">
        <f>IF(AND('Mapa final'!$Y$32="Alta",'Mapa final'!$AA$32="Menor"),CONCATENATE("R3C",'Mapa final'!$O$32),"")</f>
        <v/>
      </c>
      <c r="S18" s="37" t="e">
        <f>IF(AND('Mapa final'!#REF!="Alta",'Mapa final'!#REF!="Menor"),CONCATENATE("R3C",'Mapa final'!#REF!),"")</f>
        <v>#REF!</v>
      </c>
      <c r="T18" s="37" t="e">
        <f>IF(AND('Mapa final'!#REF!="Alta",'Mapa final'!#REF!="Menor"),CONCATENATE("R3C",'Mapa final'!#REF!),"")</f>
        <v>#REF!</v>
      </c>
      <c r="U18" s="38" t="e">
        <f>IF(AND('Mapa final'!#REF!="Alta",'Mapa final'!#REF!="Menor"),CONCATENATE("R3C",'Mapa final'!#REF!),"")</f>
        <v>#REF!</v>
      </c>
      <c r="V18" s="21" t="str">
        <f>IF(AND('Mapa final'!$Y$30="Alta",'Mapa final'!$AA$30="Moderado"),CONCATENATE("R3C",'Mapa final'!$O$30),"")</f>
        <v/>
      </c>
      <c r="W18" s="22" t="str">
        <f>IF(AND('Mapa final'!$Y$31="Alta",'Mapa final'!$AA$31="Moderado"),CONCATENATE("R3C",'Mapa final'!$O$31),"")</f>
        <v/>
      </c>
      <c r="X18" s="22" t="str">
        <f>IF(AND('Mapa final'!$Y$32="Alta",'Mapa final'!$AA$32="Moderado"),CONCATENATE("R3C",'Mapa final'!$O$32),"")</f>
        <v/>
      </c>
      <c r="Y18" s="22" t="e">
        <f>IF(AND('Mapa final'!#REF!="Alta",'Mapa final'!#REF!="Moderado"),CONCATENATE("R3C",'Mapa final'!#REF!),"")</f>
        <v>#REF!</v>
      </c>
      <c r="Z18" s="22" t="e">
        <f>IF(AND('Mapa final'!#REF!="Alta",'Mapa final'!#REF!="Moderado"),CONCATENATE("R3C",'Mapa final'!#REF!),"")</f>
        <v>#REF!</v>
      </c>
      <c r="AA18" s="23" t="e">
        <f>IF(AND('Mapa final'!#REF!="Alta",'Mapa final'!#REF!="Moderado"),CONCATENATE("R3C",'Mapa final'!#REF!),"")</f>
        <v>#REF!</v>
      </c>
      <c r="AB18" s="21" t="str">
        <f>IF(AND('Mapa final'!$Y$30="Alta",'Mapa final'!$AA$30="Mayor"),CONCATENATE("R3C",'Mapa final'!$O$30),"")</f>
        <v/>
      </c>
      <c r="AC18" s="22" t="str">
        <f>IF(AND('Mapa final'!$Y$31="Alta",'Mapa final'!$AA$31="Mayor"),CONCATENATE("R3C",'Mapa final'!$O$31),"")</f>
        <v/>
      </c>
      <c r="AD18" s="22" t="str">
        <f>IF(AND('Mapa final'!$Y$32="Alta",'Mapa final'!$AA$32="Mayor"),CONCATENATE("R3C",'Mapa final'!$O$32),"")</f>
        <v/>
      </c>
      <c r="AE18" s="22" t="e">
        <f>IF(AND('Mapa final'!#REF!="Alta",'Mapa final'!#REF!="Mayor"),CONCATENATE("R3C",'Mapa final'!#REF!),"")</f>
        <v>#REF!</v>
      </c>
      <c r="AF18" s="22" t="e">
        <f>IF(AND('Mapa final'!#REF!="Alta",'Mapa final'!#REF!="Mayor"),CONCATENATE("R3C",'Mapa final'!#REF!),"")</f>
        <v>#REF!</v>
      </c>
      <c r="AG18" s="23" t="e">
        <f>IF(AND('Mapa final'!#REF!="Alta",'Mapa final'!#REF!="Mayor"),CONCATENATE("R3C",'Mapa final'!#REF!),"")</f>
        <v>#REF!</v>
      </c>
      <c r="AH18" s="24" t="str">
        <f>IF(AND('Mapa final'!$Y$30="Alta",'Mapa final'!$AA$30="Catastrófico"),CONCATENATE("R3C",'Mapa final'!$O$30),"")</f>
        <v/>
      </c>
      <c r="AI18" s="25" t="str">
        <f>IF(AND('Mapa final'!$Y$31="Alta",'Mapa final'!$AA$31="Catastrófico"),CONCATENATE("R3C",'Mapa final'!$O$31),"")</f>
        <v/>
      </c>
      <c r="AJ18" s="25" t="str">
        <f>IF(AND('Mapa final'!$Y$32="Alta",'Mapa final'!$AA$32="Catastrófico"),CONCATENATE("R3C",'Mapa final'!$O$32),"")</f>
        <v/>
      </c>
      <c r="AK18" s="25" t="e">
        <f>IF(AND('Mapa final'!#REF!="Alta",'Mapa final'!#REF!="Catastrófico"),CONCATENATE("R3C",'Mapa final'!#REF!),"")</f>
        <v>#REF!</v>
      </c>
      <c r="AL18" s="25" t="e">
        <f>IF(AND('Mapa final'!#REF!="Alta",'Mapa final'!#REF!="Catastrófico"),CONCATENATE("R3C",'Mapa final'!#REF!),"")</f>
        <v>#REF!</v>
      </c>
      <c r="AM18" s="26" t="e">
        <f>IF(AND('Mapa final'!#REF!="Alta",'Mapa final'!#REF!="Catastrófico"),CONCATENATE("R3C",'Mapa final'!#REF!),"")</f>
        <v>#REF!</v>
      </c>
      <c r="AN18" s="1"/>
      <c r="AO18" s="272"/>
      <c r="AP18" s="218"/>
      <c r="AQ18" s="218"/>
      <c r="AR18" s="218"/>
      <c r="AS18" s="218"/>
      <c r="AT18" s="273"/>
    </row>
    <row r="19" spans="2:46" ht="15" customHeight="1" x14ac:dyDescent="0.25">
      <c r="B19" s="263"/>
      <c r="C19" s="218"/>
      <c r="D19" s="219"/>
      <c r="E19" s="230"/>
      <c r="F19" s="218"/>
      <c r="G19" s="218"/>
      <c r="H19" s="218"/>
      <c r="I19" s="218"/>
      <c r="J19" s="36" t="str">
        <f>IF(AND('Mapa final'!$Y$37="Alta",'Mapa final'!$AA$37="Leve"),CONCATENATE("R4C",'Mapa final'!$O$37),"")</f>
        <v/>
      </c>
      <c r="K19" s="37" t="str">
        <f>IF(AND('Mapa final'!$Y$38="Alta",'Mapa final'!$AA$38="Leve"),CONCATENATE("R4C",'Mapa final'!$O$38),"")</f>
        <v/>
      </c>
      <c r="L19" s="37" t="e">
        <f>IF(AND('Mapa final'!#REF!="Alta",'Mapa final'!#REF!="Leve"),CONCATENATE("R4C",'Mapa final'!#REF!),"")</f>
        <v>#REF!</v>
      </c>
      <c r="M19" s="37" t="str">
        <f>IF(AND('Mapa final'!$Y$39="Alta",'Mapa final'!$AA$39="Leve"),CONCATENATE("R4C",'Mapa final'!$O$39),"")</f>
        <v/>
      </c>
      <c r="N19" s="37" t="e">
        <f>IF(AND('Mapa final'!#REF!="Alta",'Mapa final'!#REF!="Leve"),CONCATENATE("R4C",'Mapa final'!#REF!),"")</f>
        <v>#REF!</v>
      </c>
      <c r="O19" s="38" t="e">
        <f>IF(AND('Mapa final'!#REF!="Alta",'Mapa final'!#REF!="Leve"),CONCATENATE("R4C",'Mapa final'!#REF!),"")</f>
        <v>#REF!</v>
      </c>
      <c r="P19" s="36" t="str">
        <f>IF(AND('Mapa final'!$Y$37="Alta",'Mapa final'!$AA$37="Menor"),CONCATENATE("R4C",'Mapa final'!$O$37),"")</f>
        <v/>
      </c>
      <c r="Q19" s="37" t="str">
        <f>IF(AND('Mapa final'!$Y$38="Alta",'Mapa final'!$AA$38="Menor"),CONCATENATE("R4C",'Mapa final'!$O$38),"")</f>
        <v/>
      </c>
      <c r="R19" s="37" t="e">
        <f>IF(AND('Mapa final'!#REF!="Alta",'Mapa final'!#REF!="Menor"),CONCATENATE("R4C",'Mapa final'!#REF!),"")</f>
        <v>#REF!</v>
      </c>
      <c r="S19" s="37" t="str">
        <f>IF(AND('Mapa final'!$Y$39="Alta",'Mapa final'!$AA$39="Menor"),CONCATENATE("R4C",'Mapa final'!$O$39),"")</f>
        <v/>
      </c>
      <c r="T19" s="37" t="e">
        <f>IF(AND('Mapa final'!#REF!="Alta",'Mapa final'!#REF!="Menor"),CONCATENATE("R4C",'Mapa final'!#REF!),"")</f>
        <v>#REF!</v>
      </c>
      <c r="U19" s="38" t="e">
        <f>IF(AND('Mapa final'!#REF!="Alta",'Mapa final'!#REF!="Menor"),CONCATENATE("R4C",'Mapa final'!#REF!),"")</f>
        <v>#REF!</v>
      </c>
      <c r="V19" s="21" t="str">
        <f>IF(AND('Mapa final'!$Y$37="Alta",'Mapa final'!$AA$37="Moderado"),CONCATENATE("R4C",'Mapa final'!$O$37),"")</f>
        <v/>
      </c>
      <c r="W19" s="22" t="str">
        <f>IF(AND('Mapa final'!$Y$38="Alta",'Mapa final'!$AA$38="Moderado"),CONCATENATE("R4C",'Mapa final'!$O$38),"")</f>
        <v/>
      </c>
      <c r="X19" s="22" t="e">
        <f>IF(AND('Mapa final'!#REF!="Alta",'Mapa final'!#REF!="Moderado"),CONCATENATE("R4C",'Mapa final'!#REF!),"")</f>
        <v>#REF!</v>
      </c>
      <c r="Y19" s="22" t="str">
        <f>IF(AND('Mapa final'!$Y$39="Alta",'Mapa final'!$AA$39="Moderado"),CONCATENATE("R4C",'Mapa final'!$O$39),"")</f>
        <v/>
      </c>
      <c r="Z19" s="22" t="e">
        <f>IF(AND('Mapa final'!#REF!="Alta",'Mapa final'!#REF!="Moderado"),CONCATENATE("R4C",'Mapa final'!#REF!),"")</f>
        <v>#REF!</v>
      </c>
      <c r="AA19" s="23" t="e">
        <f>IF(AND('Mapa final'!#REF!="Alta",'Mapa final'!#REF!="Moderado"),CONCATENATE("R4C",'Mapa final'!#REF!),"")</f>
        <v>#REF!</v>
      </c>
      <c r="AB19" s="21" t="str">
        <f>IF(AND('Mapa final'!$Y$37="Alta",'Mapa final'!$AA$37="Mayor"),CONCATENATE("R4C",'Mapa final'!$O$37),"")</f>
        <v/>
      </c>
      <c r="AC19" s="22" t="str">
        <f>IF(AND('Mapa final'!$Y$38="Alta",'Mapa final'!$AA$38="Mayor"),CONCATENATE("R4C",'Mapa final'!$O$38),"")</f>
        <v/>
      </c>
      <c r="AD19" s="22" t="e">
        <f>IF(AND('Mapa final'!#REF!="Alta",'Mapa final'!#REF!="Mayor"),CONCATENATE("R4C",'Mapa final'!#REF!),"")</f>
        <v>#REF!</v>
      </c>
      <c r="AE19" s="22" t="str">
        <f>IF(AND('Mapa final'!$Y$39="Alta",'Mapa final'!$AA$39="Mayor"),CONCATENATE("R4C",'Mapa final'!$O$39),"")</f>
        <v/>
      </c>
      <c r="AF19" s="22" t="e">
        <f>IF(AND('Mapa final'!#REF!="Alta",'Mapa final'!#REF!="Mayor"),CONCATENATE("R4C",'Mapa final'!#REF!),"")</f>
        <v>#REF!</v>
      </c>
      <c r="AG19" s="23" t="e">
        <f>IF(AND('Mapa final'!#REF!="Alta",'Mapa final'!#REF!="Mayor"),CONCATENATE("R4C",'Mapa final'!#REF!),"")</f>
        <v>#REF!</v>
      </c>
      <c r="AH19" s="24" t="str">
        <f>IF(AND('Mapa final'!$Y$37="Alta",'Mapa final'!$AA$37="Catastrófico"),CONCATENATE("R4C",'Mapa final'!$O$37),"")</f>
        <v/>
      </c>
      <c r="AI19" s="25" t="str">
        <f>IF(AND('Mapa final'!$Y$38="Alta",'Mapa final'!$AA$38="Catastrófico"),CONCATENATE("R4C",'Mapa final'!$O$38),"")</f>
        <v/>
      </c>
      <c r="AJ19" s="25" t="e">
        <f>IF(AND('Mapa final'!#REF!="Alta",'Mapa final'!#REF!="Catastrófico"),CONCATENATE("R4C",'Mapa final'!#REF!),"")</f>
        <v>#REF!</v>
      </c>
      <c r="AK19" s="25" t="str">
        <f>IF(AND('Mapa final'!$Y$39="Alta",'Mapa final'!$AA$39="Catastrófico"),CONCATENATE("R4C",'Mapa final'!$O$39),"")</f>
        <v/>
      </c>
      <c r="AL19" s="25" t="e">
        <f>IF(AND('Mapa final'!#REF!="Alta",'Mapa final'!#REF!="Catastrófico"),CONCATENATE("R4C",'Mapa final'!#REF!),"")</f>
        <v>#REF!</v>
      </c>
      <c r="AM19" s="26" t="e">
        <f>IF(AND('Mapa final'!#REF!="Alta",'Mapa final'!#REF!="Catastrófico"),CONCATENATE("R4C",'Mapa final'!#REF!),"")</f>
        <v>#REF!</v>
      </c>
      <c r="AN19" s="1"/>
      <c r="AO19" s="272"/>
      <c r="AP19" s="218"/>
      <c r="AQ19" s="218"/>
      <c r="AR19" s="218"/>
      <c r="AS19" s="218"/>
      <c r="AT19" s="273"/>
    </row>
    <row r="20" spans="2:46" ht="15" customHeight="1" x14ac:dyDescent="0.25">
      <c r="B20" s="263"/>
      <c r="C20" s="218"/>
      <c r="D20" s="219"/>
      <c r="E20" s="230"/>
      <c r="F20" s="218"/>
      <c r="G20" s="218"/>
      <c r="H20" s="218"/>
      <c r="I20" s="218"/>
      <c r="J20" s="36" t="str">
        <f>IF(AND('Mapa final'!$Y$44="Alta",'Mapa final'!$AA$44="Leve"),CONCATENATE("R5C",'Mapa final'!$O$44),"")</f>
        <v/>
      </c>
      <c r="K20" s="37" t="str">
        <f>IF(AND('Mapa final'!$Y$45="Alta",'Mapa final'!$AA$45="Leve"),CONCATENATE("R5C",'Mapa final'!$O$45),"")</f>
        <v/>
      </c>
      <c r="L20" s="37" t="str">
        <f>IF(AND('Mapa final'!$Y$46="Alta",'Mapa final'!$AA$46="Leve"),CONCATENATE("R5C",'Mapa final'!$O$46),"")</f>
        <v/>
      </c>
      <c r="M20" s="37" t="e">
        <f>IF(AND('Mapa final'!#REF!="Alta",'Mapa final'!#REF!="Leve"),CONCATENATE("R5C",'Mapa final'!#REF!),"")</f>
        <v>#REF!</v>
      </c>
      <c r="N20" s="37" t="e">
        <f>IF(AND('Mapa final'!#REF!="Alta",'Mapa final'!#REF!="Leve"),CONCATENATE("R5C",'Mapa final'!#REF!),"")</f>
        <v>#REF!</v>
      </c>
      <c r="O20" s="38" t="e">
        <f>IF(AND('Mapa final'!#REF!="Alta",'Mapa final'!#REF!="Leve"),CONCATENATE("R5C",'Mapa final'!#REF!),"")</f>
        <v>#REF!</v>
      </c>
      <c r="P20" s="36" t="str">
        <f>IF(AND('Mapa final'!$Y$44="Alta",'Mapa final'!$AA$44="Menor"),CONCATENATE("R5C",'Mapa final'!$O$44),"")</f>
        <v/>
      </c>
      <c r="Q20" s="37" t="str">
        <f>IF(AND('Mapa final'!$Y$45="Alta",'Mapa final'!$AA$45="Menor"),CONCATENATE("R5C",'Mapa final'!$O$45),"")</f>
        <v/>
      </c>
      <c r="R20" s="37" t="str">
        <f>IF(AND('Mapa final'!$Y$46="Alta",'Mapa final'!$AA$46="Menor"),CONCATENATE("R5C",'Mapa final'!$O$46),"")</f>
        <v/>
      </c>
      <c r="S20" s="37" t="e">
        <f>IF(AND('Mapa final'!#REF!="Alta",'Mapa final'!#REF!="Menor"),CONCATENATE("R5C",'Mapa final'!#REF!),"")</f>
        <v>#REF!</v>
      </c>
      <c r="T20" s="37" t="e">
        <f>IF(AND('Mapa final'!#REF!="Alta",'Mapa final'!#REF!="Menor"),CONCATENATE("R5C",'Mapa final'!#REF!),"")</f>
        <v>#REF!</v>
      </c>
      <c r="U20" s="38" t="e">
        <f>IF(AND('Mapa final'!#REF!="Alta",'Mapa final'!#REF!="Menor"),CONCATENATE("R5C",'Mapa final'!#REF!),"")</f>
        <v>#REF!</v>
      </c>
      <c r="V20" s="21" t="str">
        <f>IF(AND('Mapa final'!$Y$44="Alta",'Mapa final'!$AA$44="Moderado"),CONCATENATE("R5C",'Mapa final'!$O$44),"")</f>
        <v/>
      </c>
      <c r="W20" s="22" t="str">
        <f>IF(AND('Mapa final'!$Y$45="Alta",'Mapa final'!$AA$45="Moderado"),CONCATENATE("R5C",'Mapa final'!$O$45),"")</f>
        <v/>
      </c>
      <c r="X20" s="22" t="str">
        <f>IF(AND('Mapa final'!$Y$46="Alta",'Mapa final'!$AA$46="Moderado"),CONCATENATE("R5C",'Mapa final'!$O$46),"")</f>
        <v/>
      </c>
      <c r="Y20" s="22" t="e">
        <f>IF(AND('Mapa final'!#REF!="Alta",'Mapa final'!#REF!="Moderado"),CONCATENATE("R5C",'Mapa final'!#REF!),"")</f>
        <v>#REF!</v>
      </c>
      <c r="Z20" s="22" t="e">
        <f>IF(AND('Mapa final'!#REF!="Alta",'Mapa final'!#REF!="Moderado"),CONCATENATE("R5C",'Mapa final'!#REF!),"")</f>
        <v>#REF!</v>
      </c>
      <c r="AA20" s="23" t="e">
        <f>IF(AND('Mapa final'!#REF!="Alta",'Mapa final'!#REF!="Moderado"),CONCATENATE("R5C",'Mapa final'!#REF!),"")</f>
        <v>#REF!</v>
      </c>
      <c r="AB20" s="21" t="str">
        <f>IF(AND('Mapa final'!$Y$44="Alta",'Mapa final'!$AA$44="Mayor"),CONCATENATE("R5C",'Mapa final'!$O$44),"")</f>
        <v/>
      </c>
      <c r="AC20" s="22" t="str">
        <f>IF(AND('Mapa final'!$Y$45="Alta",'Mapa final'!$AA$45="Mayor"),CONCATENATE("R5C",'Mapa final'!$O$45),"")</f>
        <v/>
      </c>
      <c r="AD20" s="22" t="str">
        <f>IF(AND('Mapa final'!$Y$46="Alta",'Mapa final'!$AA$46="Mayor"),CONCATENATE("R5C",'Mapa final'!$O$46),"")</f>
        <v/>
      </c>
      <c r="AE20" s="22" t="e">
        <f>IF(AND('Mapa final'!#REF!="Alta",'Mapa final'!#REF!="Mayor"),CONCATENATE("R5C",'Mapa final'!#REF!),"")</f>
        <v>#REF!</v>
      </c>
      <c r="AF20" s="22" t="e">
        <f>IF(AND('Mapa final'!#REF!="Alta",'Mapa final'!#REF!="Mayor"),CONCATENATE("R5C",'Mapa final'!#REF!),"")</f>
        <v>#REF!</v>
      </c>
      <c r="AG20" s="23" t="e">
        <f>IF(AND('Mapa final'!#REF!="Alta",'Mapa final'!#REF!="Mayor"),CONCATENATE("R5C",'Mapa final'!#REF!),"")</f>
        <v>#REF!</v>
      </c>
      <c r="AH20" s="24" t="str">
        <f>IF(AND('Mapa final'!$Y$44="Alta",'Mapa final'!$AA$44="Catastrófico"),CONCATENATE("R5C",'Mapa final'!$O$44),"")</f>
        <v/>
      </c>
      <c r="AI20" s="25" t="str">
        <f>IF(AND('Mapa final'!$Y$45="Alta",'Mapa final'!$AA$45="Catastrófico"),CONCATENATE("R5C",'Mapa final'!$O$45),"")</f>
        <v/>
      </c>
      <c r="AJ20" s="25" t="str">
        <f>IF(AND('Mapa final'!$Y$46="Alta",'Mapa final'!$AA$46="Catastrófico"),CONCATENATE("R5C",'Mapa final'!$O$46),"")</f>
        <v/>
      </c>
      <c r="AK20" s="25" t="e">
        <f>IF(AND('Mapa final'!#REF!="Alta",'Mapa final'!#REF!="Catastrófico"),CONCATENATE("R5C",'Mapa final'!#REF!),"")</f>
        <v>#REF!</v>
      </c>
      <c r="AL20" s="25" t="e">
        <f>IF(AND('Mapa final'!#REF!="Alta",'Mapa final'!#REF!="Catastrófico"),CONCATENATE("R5C",'Mapa final'!#REF!),"")</f>
        <v>#REF!</v>
      </c>
      <c r="AM20" s="26" t="e">
        <f>IF(AND('Mapa final'!#REF!="Alta",'Mapa final'!#REF!="Catastrófico"),CONCATENATE("R5C",'Mapa final'!#REF!),"")</f>
        <v>#REF!</v>
      </c>
      <c r="AN20" s="1"/>
      <c r="AO20" s="272"/>
      <c r="AP20" s="218"/>
      <c r="AQ20" s="218"/>
      <c r="AR20" s="218"/>
      <c r="AS20" s="218"/>
      <c r="AT20" s="273"/>
    </row>
    <row r="21" spans="2:46" ht="15" customHeight="1" x14ac:dyDescent="0.25">
      <c r="B21" s="263"/>
      <c r="C21" s="218"/>
      <c r="D21" s="219"/>
      <c r="E21" s="230"/>
      <c r="F21" s="218"/>
      <c r="G21" s="218"/>
      <c r="H21" s="218"/>
      <c r="I21" s="218"/>
      <c r="J21" s="36" t="str">
        <f>IF(AND('Mapa final'!$Y$51="Alta",'Mapa final'!$AA$51="Leve"),CONCATENATE("R6C",'Mapa final'!$O$51),"")</f>
        <v/>
      </c>
      <c r="K21" s="37" t="str">
        <f>IF(AND('Mapa final'!$Y$52="Alta",'Mapa final'!$AA$52="Leve"),CONCATENATE("R6C",'Mapa final'!$O$52),"")</f>
        <v/>
      </c>
      <c r="L21" s="37" t="str">
        <f>IF(AND('Mapa final'!$Y$53="Alta",'Mapa final'!$AA$53="Leve"),CONCATENATE("R6C",'Mapa final'!$O$53),"")</f>
        <v/>
      </c>
      <c r="M21" s="37" t="e">
        <f>IF(AND('Mapa final'!#REF!="Alta",'Mapa final'!#REF!="Leve"),CONCATENATE("R6C",'Mapa final'!#REF!),"")</f>
        <v>#REF!</v>
      </c>
      <c r="N21" s="37" t="e">
        <f>IF(AND('Mapa final'!#REF!="Alta",'Mapa final'!#REF!="Leve"),CONCATENATE("R6C",'Mapa final'!#REF!),"")</f>
        <v>#REF!</v>
      </c>
      <c r="O21" s="38" t="e">
        <f>IF(AND('Mapa final'!#REF!="Alta",'Mapa final'!#REF!="Leve"),CONCATENATE("R6C",'Mapa final'!#REF!),"")</f>
        <v>#REF!</v>
      </c>
      <c r="P21" s="36" t="str">
        <f>IF(AND('Mapa final'!$Y$51="Alta",'Mapa final'!$AA$51="Menor"),CONCATENATE("R6C",'Mapa final'!$O$51),"")</f>
        <v/>
      </c>
      <c r="Q21" s="37" t="str">
        <f>IF(AND('Mapa final'!$Y$52="Alta",'Mapa final'!$AA$52="Menor"),CONCATENATE("R6C",'Mapa final'!$O$52),"")</f>
        <v/>
      </c>
      <c r="R21" s="37" t="str">
        <f>IF(AND('Mapa final'!$Y$53="Alta",'Mapa final'!$AA$53="Menor"),CONCATENATE("R6C",'Mapa final'!$O$53),"")</f>
        <v/>
      </c>
      <c r="S21" s="37" t="e">
        <f>IF(AND('Mapa final'!#REF!="Alta",'Mapa final'!#REF!="Menor"),CONCATENATE("R6C",'Mapa final'!#REF!),"")</f>
        <v>#REF!</v>
      </c>
      <c r="T21" s="37" t="e">
        <f>IF(AND('Mapa final'!#REF!="Alta",'Mapa final'!#REF!="Menor"),CONCATENATE("R6C",'Mapa final'!#REF!),"")</f>
        <v>#REF!</v>
      </c>
      <c r="U21" s="38" t="e">
        <f>IF(AND('Mapa final'!#REF!="Alta",'Mapa final'!#REF!="Menor"),CONCATENATE("R6C",'Mapa final'!#REF!),"")</f>
        <v>#REF!</v>
      </c>
      <c r="V21" s="21" t="str">
        <f>IF(AND('Mapa final'!$Y$51="Alta",'Mapa final'!$AA$51="Moderado"),CONCATENATE("R6C",'Mapa final'!$O$51),"")</f>
        <v/>
      </c>
      <c r="W21" s="22" t="str">
        <f>IF(AND('Mapa final'!$Y$52="Alta",'Mapa final'!$AA$52="Moderado"),CONCATENATE("R6C",'Mapa final'!$O$52),"")</f>
        <v/>
      </c>
      <c r="X21" s="22" t="str">
        <f>IF(AND('Mapa final'!$Y$53="Alta",'Mapa final'!$AA$53="Moderado"),CONCATENATE("R6C",'Mapa final'!$O$53),"")</f>
        <v/>
      </c>
      <c r="Y21" s="22" t="e">
        <f>IF(AND('Mapa final'!#REF!="Alta",'Mapa final'!#REF!="Moderado"),CONCATENATE("R6C",'Mapa final'!#REF!),"")</f>
        <v>#REF!</v>
      </c>
      <c r="Z21" s="22" t="e">
        <f>IF(AND('Mapa final'!#REF!="Alta",'Mapa final'!#REF!="Moderado"),CONCATENATE("R6C",'Mapa final'!#REF!),"")</f>
        <v>#REF!</v>
      </c>
      <c r="AA21" s="23" t="e">
        <f>IF(AND('Mapa final'!#REF!="Alta",'Mapa final'!#REF!="Moderado"),CONCATENATE("R6C",'Mapa final'!#REF!),"")</f>
        <v>#REF!</v>
      </c>
      <c r="AB21" s="21" t="str">
        <f>IF(AND('Mapa final'!$Y$51="Alta",'Mapa final'!$AA$51="Mayor"),CONCATENATE("R6C",'Mapa final'!$O$51),"")</f>
        <v/>
      </c>
      <c r="AC21" s="22" t="str">
        <f>IF(AND('Mapa final'!$Y$52="Alta",'Mapa final'!$AA$52="Mayor"),CONCATENATE("R6C",'Mapa final'!$O$52),"")</f>
        <v/>
      </c>
      <c r="AD21" s="22" t="str">
        <f>IF(AND('Mapa final'!$Y$53="Alta",'Mapa final'!$AA$53="Mayor"),CONCATENATE("R6C",'Mapa final'!$O$53),"")</f>
        <v/>
      </c>
      <c r="AE21" s="22" t="e">
        <f>IF(AND('Mapa final'!#REF!="Alta",'Mapa final'!#REF!="Mayor"),CONCATENATE("R6C",'Mapa final'!#REF!),"")</f>
        <v>#REF!</v>
      </c>
      <c r="AF21" s="22" t="e">
        <f>IF(AND('Mapa final'!#REF!="Alta",'Mapa final'!#REF!="Mayor"),CONCATENATE("R6C",'Mapa final'!#REF!),"")</f>
        <v>#REF!</v>
      </c>
      <c r="AG21" s="23" t="e">
        <f>IF(AND('Mapa final'!#REF!="Alta",'Mapa final'!#REF!="Mayor"),CONCATENATE("R6C",'Mapa final'!#REF!),"")</f>
        <v>#REF!</v>
      </c>
      <c r="AH21" s="24" t="str">
        <f>IF(AND('Mapa final'!$Y$51="Alta",'Mapa final'!$AA$51="Catastrófico"),CONCATENATE("R6C",'Mapa final'!$O$51),"")</f>
        <v/>
      </c>
      <c r="AI21" s="25" t="str">
        <f>IF(AND('Mapa final'!$Y$52="Alta",'Mapa final'!$AA$52="Catastrófico"),CONCATENATE("R6C",'Mapa final'!$O$52),"")</f>
        <v/>
      </c>
      <c r="AJ21" s="25" t="str">
        <f>IF(AND('Mapa final'!$Y$53="Alta",'Mapa final'!$AA$53="Catastrófico"),CONCATENATE("R6C",'Mapa final'!$O$53),"")</f>
        <v/>
      </c>
      <c r="AK21" s="25" t="e">
        <f>IF(AND('Mapa final'!#REF!="Alta",'Mapa final'!#REF!="Catastrófico"),CONCATENATE("R6C",'Mapa final'!#REF!),"")</f>
        <v>#REF!</v>
      </c>
      <c r="AL21" s="25" t="e">
        <f>IF(AND('Mapa final'!#REF!="Alta",'Mapa final'!#REF!="Catastrófico"),CONCATENATE("R6C",'Mapa final'!#REF!),"")</f>
        <v>#REF!</v>
      </c>
      <c r="AM21" s="26" t="e">
        <f>IF(AND('Mapa final'!#REF!="Alta",'Mapa final'!#REF!="Catastrófico"),CONCATENATE("R6C",'Mapa final'!#REF!),"")</f>
        <v>#REF!</v>
      </c>
      <c r="AN21" s="1"/>
      <c r="AO21" s="272"/>
      <c r="AP21" s="218"/>
      <c r="AQ21" s="218"/>
      <c r="AR21" s="218"/>
      <c r="AS21" s="218"/>
      <c r="AT21" s="273"/>
    </row>
    <row r="22" spans="2:46" ht="15" customHeight="1" x14ac:dyDescent="0.25">
      <c r="B22" s="263"/>
      <c r="C22" s="218"/>
      <c r="D22" s="219"/>
      <c r="E22" s="230"/>
      <c r="F22" s="218"/>
      <c r="G22" s="218"/>
      <c r="H22" s="218"/>
      <c r="I22" s="218"/>
      <c r="J22" s="36" t="e">
        <f>IF(AND('Mapa final'!#REF!="Alta",'Mapa final'!#REF!="Leve"),CONCATENATE("R7C",'Mapa final'!#REF!),"")</f>
        <v>#REF!</v>
      </c>
      <c r="K22" s="37" t="e">
        <f>IF(AND('Mapa final'!#REF!="Alta",'Mapa final'!#REF!="Leve"),CONCATENATE("R7C",'Mapa final'!#REF!),"")</f>
        <v>#REF!</v>
      </c>
      <c r="L22" s="37" t="e">
        <f>IF(AND('Mapa final'!#REF!="Alta",'Mapa final'!#REF!="Leve"),CONCATENATE("R7C",'Mapa final'!#REF!),"")</f>
        <v>#REF!</v>
      </c>
      <c r="M22" s="37" t="e">
        <f>IF(AND('Mapa final'!#REF!="Alta",'Mapa final'!#REF!="Leve"),CONCATENATE("R7C",'Mapa final'!#REF!),"")</f>
        <v>#REF!</v>
      </c>
      <c r="N22" s="37" t="e">
        <f>IF(AND('Mapa final'!#REF!="Alta",'Mapa final'!#REF!="Leve"),CONCATENATE("R7C",'Mapa final'!#REF!),"")</f>
        <v>#REF!</v>
      </c>
      <c r="O22" s="38" t="e">
        <f>IF(AND('Mapa final'!#REF!="Alta",'Mapa final'!#REF!="Leve"),CONCATENATE("R7C",'Mapa final'!#REF!),"")</f>
        <v>#REF!</v>
      </c>
      <c r="P22" s="36" t="e">
        <f>IF(AND('Mapa final'!#REF!="Alta",'Mapa final'!#REF!="Menor"),CONCATENATE("R7C",'Mapa final'!#REF!),"")</f>
        <v>#REF!</v>
      </c>
      <c r="Q22" s="37" t="e">
        <f>IF(AND('Mapa final'!#REF!="Alta",'Mapa final'!#REF!="Menor"),CONCATENATE("R7C",'Mapa final'!#REF!),"")</f>
        <v>#REF!</v>
      </c>
      <c r="R22" s="37" t="e">
        <f>IF(AND('Mapa final'!#REF!="Alta",'Mapa final'!#REF!="Menor"),CONCATENATE("R7C",'Mapa final'!#REF!),"")</f>
        <v>#REF!</v>
      </c>
      <c r="S22" s="37" t="e">
        <f>IF(AND('Mapa final'!#REF!="Alta",'Mapa final'!#REF!="Menor"),CONCATENATE("R7C",'Mapa final'!#REF!),"")</f>
        <v>#REF!</v>
      </c>
      <c r="T22" s="37" t="e">
        <f>IF(AND('Mapa final'!#REF!="Alta",'Mapa final'!#REF!="Menor"),CONCATENATE("R7C",'Mapa final'!#REF!),"")</f>
        <v>#REF!</v>
      </c>
      <c r="U22" s="38" t="e">
        <f>IF(AND('Mapa final'!#REF!="Alta",'Mapa final'!#REF!="Menor"),CONCATENATE("R7C",'Mapa final'!#REF!),"")</f>
        <v>#REF!</v>
      </c>
      <c r="V22" s="21" t="e">
        <f>IF(AND('Mapa final'!#REF!="Alta",'Mapa final'!#REF!="Moderado"),CONCATENATE("R7C",'Mapa final'!#REF!),"")</f>
        <v>#REF!</v>
      </c>
      <c r="W22" s="22" t="e">
        <f>IF(AND('Mapa final'!#REF!="Alta",'Mapa final'!#REF!="Moderado"),CONCATENATE("R7C",'Mapa final'!#REF!),"")</f>
        <v>#REF!</v>
      </c>
      <c r="X22" s="22" t="e">
        <f>IF(AND('Mapa final'!#REF!="Alta",'Mapa final'!#REF!="Moderado"),CONCATENATE("R7C",'Mapa final'!#REF!),"")</f>
        <v>#REF!</v>
      </c>
      <c r="Y22" s="22" t="e">
        <f>IF(AND('Mapa final'!#REF!="Alta",'Mapa final'!#REF!="Moderado"),CONCATENATE("R7C",'Mapa final'!#REF!),"")</f>
        <v>#REF!</v>
      </c>
      <c r="Z22" s="22" t="e">
        <f>IF(AND('Mapa final'!#REF!="Alta",'Mapa final'!#REF!="Moderado"),CONCATENATE("R7C",'Mapa final'!#REF!),"")</f>
        <v>#REF!</v>
      </c>
      <c r="AA22" s="23" t="e">
        <f>IF(AND('Mapa final'!#REF!="Alta",'Mapa final'!#REF!="Moderado"),CONCATENATE("R7C",'Mapa final'!#REF!),"")</f>
        <v>#REF!</v>
      </c>
      <c r="AB22" s="21" t="e">
        <f>IF(AND('Mapa final'!#REF!="Alta",'Mapa final'!#REF!="Mayor"),CONCATENATE("R7C",'Mapa final'!#REF!),"")</f>
        <v>#REF!</v>
      </c>
      <c r="AC22" s="22" t="e">
        <f>IF(AND('Mapa final'!#REF!="Alta",'Mapa final'!#REF!="Mayor"),CONCATENATE("R7C",'Mapa final'!#REF!),"")</f>
        <v>#REF!</v>
      </c>
      <c r="AD22" s="22" t="e">
        <f>IF(AND('Mapa final'!#REF!="Alta",'Mapa final'!#REF!="Mayor"),CONCATENATE("R7C",'Mapa final'!#REF!),"")</f>
        <v>#REF!</v>
      </c>
      <c r="AE22" s="22" t="e">
        <f>IF(AND('Mapa final'!#REF!="Alta",'Mapa final'!#REF!="Mayor"),CONCATENATE("R7C",'Mapa final'!#REF!),"")</f>
        <v>#REF!</v>
      </c>
      <c r="AF22" s="22" t="e">
        <f>IF(AND('Mapa final'!#REF!="Alta",'Mapa final'!#REF!="Mayor"),CONCATENATE("R7C",'Mapa final'!#REF!),"")</f>
        <v>#REF!</v>
      </c>
      <c r="AG22" s="23" t="e">
        <f>IF(AND('Mapa final'!#REF!="Alta",'Mapa final'!#REF!="Mayor"),CONCATENATE("R7C",'Mapa final'!#REF!),"")</f>
        <v>#REF!</v>
      </c>
      <c r="AH22" s="24" t="e">
        <f>IF(AND('Mapa final'!#REF!="Alta",'Mapa final'!#REF!="Catastrófico"),CONCATENATE("R7C",'Mapa final'!#REF!),"")</f>
        <v>#REF!</v>
      </c>
      <c r="AI22" s="25" t="e">
        <f>IF(AND('Mapa final'!#REF!="Alta",'Mapa final'!#REF!="Catastrófico"),CONCATENATE("R7C",'Mapa final'!#REF!),"")</f>
        <v>#REF!</v>
      </c>
      <c r="AJ22" s="25" t="e">
        <f>IF(AND('Mapa final'!#REF!="Alta",'Mapa final'!#REF!="Catastrófico"),CONCATENATE("R7C",'Mapa final'!#REF!),"")</f>
        <v>#REF!</v>
      </c>
      <c r="AK22" s="25" t="e">
        <f>IF(AND('Mapa final'!#REF!="Alta",'Mapa final'!#REF!="Catastrófico"),CONCATENATE("R7C",'Mapa final'!#REF!),"")</f>
        <v>#REF!</v>
      </c>
      <c r="AL22" s="25" t="e">
        <f>IF(AND('Mapa final'!#REF!="Alta",'Mapa final'!#REF!="Catastrófico"),CONCATENATE("R7C",'Mapa final'!#REF!),"")</f>
        <v>#REF!</v>
      </c>
      <c r="AM22" s="26" t="e">
        <f>IF(AND('Mapa final'!#REF!="Alta",'Mapa final'!#REF!="Catastrófico"),CONCATENATE("R7C",'Mapa final'!#REF!),"")</f>
        <v>#REF!</v>
      </c>
      <c r="AN22" s="1"/>
      <c r="AO22" s="272"/>
      <c r="AP22" s="218"/>
      <c r="AQ22" s="218"/>
      <c r="AR22" s="218"/>
      <c r="AS22" s="218"/>
      <c r="AT22" s="273"/>
    </row>
    <row r="23" spans="2:46" ht="15" customHeight="1" x14ac:dyDescent="0.25">
      <c r="B23" s="263"/>
      <c r="C23" s="218"/>
      <c r="D23" s="219"/>
      <c r="E23" s="230"/>
      <c r="F23" s="218"/>
      <c r="G23" s="218"/>
      <c r="H23" s="218"/>
      <c r="I23" s="218"/>
      <c r="J23" s="36" t="e">
        <f>IF(AND('Mapa final'!#REF!="Alta",'Mapa final'!#REF!="Leve"),CONCATENATE("R8C",'Mapa final'!#REF!),"")</f>
        <v>#REF!</v>
      </c>
      <c r="K23" s="37" t="e">
        <f>IF(AND('Mapa final'!#REF!="Alta",'Mapa final'!#REF!="Leve"),CONCATENATE("R8C",'Mapa final'!#REF!),"")</f>
        <v>#REF!</v>
      </c>
      <c r="L23" s="37" t="e">
        <f>IF(AND('Mapa final'!#REF!="Alta",'Mapa final'!#REF!="Leve"),CONCATENATE("R8C",'Mapa final'!#REF!),"")</f>
        <v>#REF!</v>
      </c>
      <c r="M23" s="37" t="e">
        <f>IF(AND('Mapa final'!#REF!="Alta",'Mapa final'!#REF!="Leve"),CONCATENATE("R8C",'Mapa final'!#REF!),"")</f>
        <v>#REF!</v>
      </c>
      <c r="N23" s="37" t="e">
        <f>IF(AND('Mapa final'!#REF!="Alta",'Mapa final'!#REF!="Leve"),CONCATENATE("R8C",'Mapa final'!#REF!),"")</f>
        <v>#REF!</v>
      </c>
      <c r="O23" s="38" t="e">
        <f>IF(AND('Mapa final'!#REF!="Alta",'Mapa final'!#REF!="Leve"),CONCATENATE("R8C",'Mapa final'!#REF!),"")</f>
        <v>#REF!</v>
      </c>
      <c r="P23" s="36" t="e">
        <f>IF(AND('Mapa final'!#REF!="Alta",'Mapa final'!#REF!="Menor"),CONCATENATE("R8C",'Mapa final'!#REF!),"")</f>
        <v>#REF!</v>
      </c>
      <c r="Q23" s="37" t="e">
        <f>IF(AND('Mapa final'!#REF!="Alta",'Mapa final'!#REF!="Menor"),CONCATENATE("R8C",'Mapa final'!#REF!),"")</f>
        <v>#REF!</v>
      </c>
      <c r="R23" s="37" t="e">
        <f>IF(AND('Mapa final'!#REF!="Alta",'Mapa final'!#REF!="Menor"),CONCATENATE("R8C",'Mapa final'!#REF!),"")</f>
        <v>#REF!</v>
      </c>
      <c r="S23" s="37" t="e">
        <f>IF(AND('Mapa final'!#REF!="Alta",'Mapa final'!#REF!="Menor"),CONCATENATE("R8C",'Mapa final'!#REF!),"")</f>
        <v>#REF!</v>
      </c>
      <c r="T23" s="37" t="e">
        <f>IF(AND('Mapa final'!#REF!="Alta",'Mapa final'!#REF!="Menor"),CONCATENATE("R8C",'Mapa final'!#REF!),"")</f>
        <v>#REF!</v>
      </c>
      <c r="U23" s="38" t="e">
        <f>IF(AND('Mapa final'!#REF!="Alta",'Mapa final'!#REF!="Menor"),CONCATENATE("R8C",'Mapa final'!#REF!),"")</f>
        <v>#REF!</v>
      </c>
      <c r="V23" s="21" t="e">
        <f>IF(AND('Mapa final'!#REF!="Alta",'Mapa final'!#REF!="Moderado"),CONCATENATE("R8C",'Mapa final'!#REF!),"")</f>
        <v>#REF!</v>
      </c>
      <c r="W23" s="22" t="e">
        <f>IF(AND('Mapa final'!#REF!="Alta",'Mapa final'!#REF!="Moderado"),CONCATENATE("R8C",'Mapa final'!#REF!),"")</f>
        <v>#REF!</v>
      </c>
      <c r="X23" s="22" t="e">
        <f>IF(AND('Mapa final'!#REF!="Alta",'Mapa final'!#REF!="Moderado"),CONCATENATE("R8C",'Mapa final'!#REF!),"")</f>
        <v>#REF!</v>
      </c>
      <c r="Y23" s="22" t="e">
        <f>IF(AND('Mapa final'!#REF!="Alta",'Mapa final'!#REF!="Moderado"),CONCATENATE("R8C",'Mapa final'!#REF!),"")</f>
        <v>#REF!</v>
      </c>
      <c r="Z23" s="22" t="e">
        <f>IF(AND('Mapa final'!#REF!="Alta",'Mapa final'!#REF!="Moderado"),CONCATENATE("R8C",'Mapa final'!#REF!),"")</f>
        <v>#REF!</v>
      </c>
      <c r="AA23" s="23" t="e">
        <f>IF(AND('Mapa final'!#REF!="Alta",'Mapa final'!#REF!="Moderado"),CONCATENATE("R8C",'Mapa final'!#REF!),"")</f>
        <v>#REF!</v>
      </c>
      <c r="AB23" s="21" t="e">
        <f>IF(AND('Mapa final'!#REF!="Alta",'Mapa final'!#REF!="Mayor"),CONCATENATE("R8C",'Mapa final'!#REF!),"")</f>
        <v>#REF!</v>
      </c>
      <c r="AC23" s="22" t="e">
        <f>IF(AND('Mapa final'!#REF!="Alta",'Mapa final'!#REF!="Mayor"),CONCATENATE("R8C",'Mapa final'!#REF!),"")</f>
        <v>#REF!</v>
      </c>
      <c r="AD23" s="22" t="e">
        <f>IF(AND('Mapa final'!#REF!="Alta",'Mapa final'!#REF!="Mayor"),CONCATENATE("R8C",'Mapa final'!#REF!),"")</f>
        <v>#REF!</v>
      </c>
      <c r="AE23" s="22" t="e">
        <f>IF(AND('Mapa final'!#REF!="Alta",'Mapa final'!#REF!="Mayor"),CONCATENATE("R8C",'Mapa final'!#REF!),"")</f>
        <v>#REF!</v>
      </c>
      <c r="AF23" s="22" t="e">
        <f>IF(AND('Mapa final'!#REF!="Alta",'Mapa final'!#REF!="Mayor"),CONCATENATE("R8C",'Mapa final'!#REF!),"")</f>
        <v>#REF!</v>
      </c>
      <c r="AG23" s="23" t="e">
        <f>IF(AND('Mapa final'!#REF!="Alta",'Mapa final'!#REF!="Mayor"),CONCATENATE("R8C",'Mapa final'!#REF!),"")</f>
        <v>#REF!</v>
      </c>
      <c r="AH23" s="24" t="e">
        <f>IF(AND('Mapa final'!#REF!="Alta",'Mapa final'!#REF!="Catastrófico"),CONCATENATE("R8C",'Mapa final'!#REF!),"")</f>
        <v>#REF!</v>
      </c>
      <c r="AI23" s="25" t="e">
        <f>IF(AND('Mapa final'!#REF!="Alta",'Mapa final'!#REF!="Catastrófico"),CONCATENATE("R8C",'Mapa final'!#REF!),"")</f>
        <v>#REF!</v>
      </c>
      <c r="AJ23" s="25" t="e">
        <f>IF(AND('Mapa final'!#REF!="Alta",'Mapa final'!#REF!="Catastrófico"),CONCATENATE("R8C",'Mapa final'!#REF!),"")</f>
        <v>#REF!</v>
      </c>
      <c r="AK23" s="25" t="e">
        <f>IF(AND('Mapa final'!#REF!="Alta",'Mapa final'!#REF!="Catastrófico"),CONCATENATE("R8C",'Mapa final'!#REF!),"")</f>
        <v>#REF!</v>
      </c>
      <c r="AL23" s="25" t="e">
        <f>IF(AND('Mapa final'!#REF!="Alta",'Mapa final'!#REF!="Catastrófico"),CONCATENATE("R8C",'Mapa final'!#REF!),"")</f>
        <v>#REF!</v>
      </c>
      <c r="AM23" s="26" t="e">
        <f>IF(AND('Mapa final'!#REF!="Alta",'Mapa final'!#REF!="Catastrófico"),CONCATENATE("R8C",'Mapa final'!#REF!),"")</f>
        <v>#REF!</v>
      </c>
      <c r="AN23" s="1"/>
      <c r="AO23" s="272"/>
      <c r="AP23" s="218"/>
      <c r="AQ23" s="218"/>
      <c r="AR23" s="218"/>
      <c r="AS23" s="218"/>
      <c r="AT23" s="273"/>
    </row>
    <row r="24" spans="2:46" ht="15" customHeight="1" x14ac:dyDescent="0.25">
      <c r="B24" s="263"/>
      <c r="C24" s="218"/>
      <c r="D24" s="219"/>
      <c r="E24" s="230"/>
      <c r="F24" s="218"/>
      <c r="G24" s="218"/>
      <c r="H24" s="218"/>
      <c r="I24" s="218"/>
      <c r="J24" s="36" t="e">
        <f>IF(AND('Mapa final'!#REF!="Alta",'Mapa final'!#REF!="Leve"),CONCATENATE("R9C",'Mapa final'!#REF!),"")</f>
        <v>#REF!</v>
      </c>
      <c r="K24" s="37" t="e">
        <f>IF(AND('Mapa final'!#REF!="Alta",'Mapa final'!#REF!="Leve"),CONCATENATE("R9C",'Mapa final'!#REF!),"")</f>
        <v>#REF!</v>
      </c>
      <c r="L24" s="37" t="e">
        <f>IF(AND('Mapa final'!#REF!="Alta",'Mapa final'!#REF!="Leve"),CONCATENATE("R9C",'Mapa final'!#REF!),"")</f>
        <v>#REF!</v>
      </c>
      <c r="M24" s="37" t="e">
        <f>IF(AND('Mapa final'!#REF!="Alta",'Mapa final'!#REF!="Leve"),CONCATENATE("R9C",'Mapa final'!#REF!),"")</f>
        <v>#REF!</v>
      </c>
      <c r="N24" s="37" t="e">
        <f>IF(AND('Mapa final'!#REF!="Alta",'Mapa final'!#REF!="Leve"),CONCATENATE("R9C",'Mapa final'!#REF!),"")</f>
        <v>#REF!</v>
      </c>
      <c r="O24" s="38" t="e">
        <f>IF(AND('Mapa final'!#REF!="Alta",'Mapa final'!#REF!="Leve"),CONCATENATE("R9C",'Mapa final'!#REF!),"")</f>
        <v>#REF!</v>
      </c>
      <c r="P24" s="36" t="e">
        <f>IF(AND('Mapa final'!#REF!="Alta",'Mapa final'!#REF!="Menor"),CONCATENATE("R9C",'Mapa final'!#REF!),"")</f>
        <v>#REF!</v>
      </c>
      <c r="Q24" s="37" t="e">
        <f>IF(AND('Mapa final'!#REF!="Alta",'Mapa final'!#REF!="Menor"),CONCATENATE("R9C",'Mapa final'!#REF!),"")</f>
        <v>#REF!</v>
      </c>
      <c r="R24" s="37" t="e">
        <f>IF(AND('Mapa final'!#REF!="Alta",'Mapa final'!#REF!="Menor"),CONCATENATE("R9C",'Mapa final'!#REF!),"")</f>
        <v>#REF!</v>
      </c>
      <c r="S24" s="37" t="e">
        <f>IF(AND('Mapa final'!#REF!="Alta",'Mapa final'!#REF!="Menor"),CONCATENATE("R9C",'Mapa final'!#REF!),"")</f>
        <v>#REF!</v>
      </c>
      <c r="T24" s="37" t="e">
        <f>IF(AND('Mapa final'!#REF!="Alta",'Mapa final'!#REF!="Menor"),CONCATENATE("R9C",'Mapa final'!#REF!),"")</f>
        <v>#REF!</v>
      </c>
      <c r="U24" s="38" t="e">
        <f>IF(AND('Mapa final'!#REF!="Alta",'Mapa final'!#REF!="Menor"),CONCATENATE("R9C",'Mapa final'!#REF!),"")</f>
        <v>#REF!</v>
      </c>
      <c r="V24" s="21" t="e">
        <f>IF(AND('Mapa final'!#REF!="Alta",'Mapa final'!#REF!="Moderado"),CONCATENATE("R9C",'Mapa final'!#REF!),"")</f>
        <v>#REF!</v>
      </c>
      <c r="W24" s="22" t="e">
        <f>IF(AND('Mapa final'!#REF!="Alta",'Mapa final'!#REF!="Moderado"),CONCATENATE("R9C",'Mapa final'!#REF!),"")</f>
        <v>#REF!</v>
      </c>
      <c r="X24" s="22" t="e">
        <f>IF(AND('Mapa final'!#REF!="Alta",'Mapa final'!#REF!="Moderado"),CONCATENATE("R9C",'Mapa final'!#REF!),"")</f>
        <v>#REF!</v>
      </c>
      <c r="Y24" s="22" t="e">
        <f>IF(AND('Mapa final'!#REF!="Alta",'Mapa final'!#REF!="Moderado"),CONCATENATE("R9C",'Mapa final'!#REF!),"")</f>
        <v>#REF!</v>
      </c>
      <c r="Z24" s="22" t="e">
        <f>IF(AND('Mapa final'!#REF!="Alta",'Mapa final'!#REF!="Moderado"),CONCATENATE("R9C",'Mapa final'!#REF!),"")</f>
        <v>#REF!</v>
      </c>
      <c r="AA24" s="23" t="e">
        <f>IF(AND('Mapa final'!#REF!="Alta",'Mapa final'!#REF!="Moderado"),CONCATENATE("R9C",'Mapa final'!#REF!),"")</f>
        <v>#REF!</v>
      </c>
      <c r="AB24" s="21" t="e">
        <f>IF(AND('Mapa final'!#REF!="Alta",'Mapa final'!#REF!="Mayor"),CONCATENATE("R9C",'Mapa final'!#REF!),"")</f>
        <v>#REF!</v>
      </c>
      <c r="AC24" s="22" t="e">
        <f>IF(AND('Mapa final'!#REF!="Alta",'Mapa final'!#REF!="Mayor"),CONCATENATE("R9C",'Mapa final'!#REF!),"")</f>
        <v>#REF!</v>
      </c>
      <c r="AD24" s="22" t="e">
        <f>IF(AND('Mapa final'!#REF!="Alta",'Mapa final'!#REF!="Mayor"),CONCATENATE("R9C",'Mapa final'!#REF!),"")</f>
        <v>#REF!</v>
      </c>
      <c r="AE24" s="22" t="e">
        <f>IF(AND('Mapa final'!#REF!="Alta",'Mapa final'!#REF!="Mayor"),CONCATENATE("R9C",'Mapa final'!#REF!),"")</f>
        <v>#REF!</v>
      </c>
      <c r="AF24" s="22" t="e">
        <f>IF(AND('Mapa final'!#REF!="Alta",'Mapa final'!#REF!="Mayor"),CONCATENATE("R9C",'Mapa final'!#REF!),"")</f>
        <v>#REF!</v>
      </c>
      <c r="AG24" s="23" t="e">
        <f>IF(AND('Mapa final'!#REF!="Alta",'Mapa final'!#REF!="Mayor"),CONCATENATE("R9C",'Mapa final'!#REF!),"")</f>
        <v>#REF!</v>
      </c>
      <c r="AH24" s="24" t="e">
        <f>IF(AND('Mapa final'!#REF!="Alta",'Mapa final'!#REF!="Catastrófico"),CONCATENATE("R9C",'Mapa final'!#REF!),"")</f>
        <v>#REF!</v>
      </c>
      <c r="AI24" s="25" t="e">
        <f>IF(AND('Mapa final'!#REF!="Alta",'Mapa final'!#REF!="Catastrófico"),CONCATENATE("R9C",'Mapa final'!#REF!),"")</f>
        <v>#REF!</v>
      </c>
      <c r="AJ24" s="25" t="e">
        <f>IF(AND('Mapa final'!#REF!="Alta",'Mapa final'!#REF!="Catastrófico"),CONCATENATE("R9C",'Mapa final'!#REF!),"")</f>
        <v>#REF!</v>
      </c>
      <c r="AK24" s="25" t="e">
        <f>IF(AND('Mapa final'!#REF!="Alta",'Mapa final'!#REF!="Catastrófico"),CONCATENATE("R9C",'Mapa final'!#REF!),"")</f>
        <v>#REF!</v>
      </c>
      <c r="AL24" s="25" t="e">
        <f>IF(AND('Mapa final'!#REF!="Alta",'Mapa final'!#REF!="Catastrófico"),CONCATENATE("R9C",'Mapa final'!#REF!),"")</f>
        <v>#REF!</v>
      </c>
      <c r="AM24" s="26" t="e">
        <f>IF(AND('Mapa final'!#REF!="Alta",'Mapa final'!#REF!="Catastrófico"),CONCATENATE("R9C",'Mapa final'!#REF!),"")</f>
        <v>#REF!</v>
      </c>
      <c r="AN24" s="1"/>
      <c r="AO24" s="272"/>
      <c r="AP24" s="218"/>
      <c r="AQ24" s="218"/>
      <c r="AR24" s="218"/>
      <c r="AS24" s="218"/>
      <c r="AT24" s="273"/>
    </row>
    <row r="25" spans="2:46" ht="15.75" customHeight="1" x14ac:dyDescent="0.25">
      <c r="B25" s="263"/>
      <c r="C25" s="218"/>
      <c r="D25" s="219"/>
      <c r="E25" s="253"/>
      <c r="F25" s="254"/>
      <c r="G25" s="254"/>
      <c r="H25" s="254"/>
      <c r="I25" s="254"/>
      <c r="J25" s="39" t="e">
        <f>IF(AND('Mapa final'!#REF!="Alta",'Mapa final'!#REF!="Leve"),CONCATENATE("R10C",'Mapa final'!#REF!),"")</f>
        <v>#REF!</v>
      </c>
      <c r="K25" s="40" t="e">
        <f>IF(AND('Mapa final'!#REF!="Alta",'Mapa final'!#REF!="Leve"),CONCATENATE("R10C",'Mapa final'!#REF!),"")</f>
        <v>#REF!</v>
      </c>
      <c r="L25" s="40" t="e">
        <f>IF(AND('Mapa final'!#REF!="Alta",'Mapa final'!#REF!="Leve"),CONCATENATE("R10C",'Mapa final'!#REF!),"")</f>
        <v>#REF!</v>
      </c>
      <c r="M25" s="40" t="e">
        <f>IF(AND('Mapa final'!#REF!="Alta",'Mapa final'!#REF!="Leve"),CONCATENATE("R10C",'Mapa final'!#REF!),"")</f>
        <v>#REF!</v>
      </c>
      <c r="N25" s="40" t="e">
        <f>IF(AND('Mapa final'!#REF!="Alta",'Mapa final'!#REF!="Leve"),CONCATENATE("R10C",'Mapa final'!#REF!),"")</f>
        <v>#REF!</v>
      </c>
      <c r="O25" s="41" t="e">
        <f>IF(AND('Mapa final'!#REF!="Alta",'Mapa final'!#REF!="Leve"),CONCATENATE("R10C",'Mapa final'!#REF!),"")</f>
        <v>#REF!</v>
      </c>
      <c r="P25" s="39" t="e">
        <f>IF(AND('Mapa final'!#REF!="Alta",'Mapa final'!#REF!="Menor"),CONCATENATE("R10C",'Mapa final'!#REF!),"")</f>
        <v>#REF!</v>
      </c>
      <c r="Q25" s="40" t="e">
        <f>IF(AND('Mapa final'!#REF!="Alta",'Mapa final'!#REF!="Menor"),CONCATENATE("R10C",'Mapa final'!#REF!),"")</f>
        <v>#REF!</v>
      </c>
      <c r="R25" s="40" t="e">
        <f>IF(AND('Mapa final'!#REF!="Alta",'Mapa final'!#REF!="Menor"),CONCATENATE("R10C",'Mapa final'!#REF!),"")</f>
        <v>#REF!</v>
      </c>
      <c r="S25" s="40" t="e">
        <f>IF(AND('Mapa final'!#REF!="Alta",'Mapa final'!#REF!="Menor"),CONCATENATE("R10C",'Mapa final'!#REF!),"")</f>
        <v>#REF!</v>
      </c>
      <c r="T25" s="40" t="e">
        <f>IF(AND('Mapa final'!#REF!="Alta",'Mapa final'!#REF!="Menor"),CONCATENATE("R10C",'Mapa final'!#REF!),"")</f>
        <v>#REF!</v>
      </c>
      <c r="U25" s="41" t="e">
        <f>IF(AND('Mapa final'!#REF!="Alta",'Mapa final'!#REF!="Menor"),CONCATENATE("R10C",'Mapa final'!#REF!),"")</f>
        <v>#REF!</v>
      </c>
      <c r="V25" s="27" t="e">
        <f>IF(AND('Mapa final'!#REF!="Alta",'Mapa final'!#REF!="Moderado"),CONCATENATE("R10C",'Mapa final'!#REF!),"")</f>
        <v>#REF!</v>
      </c>
      <c r="W25" s="28" t="e">
        <f>IF(AND('Mapa final'!#REF!="Alta",'Mapa final'!#REF!="Moderado"),CONCATENATE("R10C",'Mapa final'!#REF!),"")</f>
        <v>#REF!</v>
      </c>
      <c r="X25" s="28" t="e">
        <f>IF(AND('Mapa final'!#REF!="Alta",'Mapa final'!#REF!="Moderado"),CONCATENATE("R10C",'Mapa final'!#REF!),"")</f>
        <v>#REF!</v>
      </c>
      <c r="Y25" s="28" t="e">
        <f>IF(AND('Mapa final'!#REF!="Alta",'Mapa final'!#REF!="Moderado"),CONCATENATE("R10C",'Mapa final'!#REF!),"")</f>
        <v>#REF!</v>
      </c>
      <c r="Z25" s="28" t="e">
        <f>IF(AND('Mapa final'!#REF!="Alta",'Mapa final'!#REF!="Moderado"),CONCATENATE("R10C",'Mapa final'!#REF!),"")</f>
        <v>#REF!</v>
      </c>
      <c r="AA25" s="29" t="e">
        <f>IF(AND('Mapa final'!#REF!="Alta",'Mapa final'!#REF!="Moderado"),CONCATENATE("R10C",'Mapa final'!#REF!),"")</f>
        <v>#REF!</v>
      </c>
      <c r="AB25" s="27" t="e">
        <f>IF(AND('Mapa final'!#REF!="Alta",'Mapa final'!#REF!="Mayor"),CONCATENATE("R10C",'Mapa final'!#REF!),"")</f>
        <v>#REF!</v>
      </c>
      <c r="AC25" s="28" t="e">
        <f>IF(AND('Mapa final'!#REF!="Alta",'Mapa final'!#REF!="Mayor"),CONCATENATE("R10C",'Mapa final'!#REF!),"")</f>
        <v>#REF!</v>
      </c>
      <c r="AD25" s="28" t="e">
        <f>IF(AND('Mapa final'!#REF!="Alta",'Mapa final'!#REF!="Mayor"),CONCATENATE("R10C",'Mapa final'!#REF!),"")</f>
        <v>#REF!</v>
      </c>
      <c r="AE25" s="28" t="e">
        <f>IF(AND('Mapa final'!#REF!="Alta",'Mapa final'!#REF!="Mayor"),CONCATENATE("R10C",'Mapa final'!#REF!),"")</f>
        <v>#REF!</v>
      </c>
      <c r="AF25" s="28" t="e">
        <f>IF(AND('Mapa final'!#REF!="Alta",'Mapa final'!#REF!="Mayor"),CONCATENATE("R10C",'Mapa final'!#REF!),"")</f>
        <v>#REF!</v>
      </c>
      <c r="AG25" s="29" t="e">
        <f>IF(AND('Mapa final'!#REF!="Alta",'Mapa final'!#REF!="Mayor"),CONCATENATE("R10C",'Mapa final'!#REF!),"")</f>
        <v>#REF!</v>
      </c>
      <c r="AH25" s="30" t="e">
        <f>IF(AND('Mapa final'!#REF!="Alta",'Mapa final'!#REF!="Catastrófico"),CONCATENATE("R10C",'Mapa final'!#REF!),"")</f>
        <v>#REF!</v>
      </c>
      <c r="AI25" s="31" t="e">
        <f>IF(AND('Mapa final'!#REF!="Alta",'Mapa final'!#REF!="Catastrófico"),CONCATENATE("R10C",'Mapa final'!#REF!),"")</f>
        <v>#REF!</v>
      </c>
      <c r="AJ25" s="31" t="e">
        <f>IF(AND('Mapa final'!#REF!="Alta",'Mapa final'!#REF!="Catastrófico"),CONCATENATE("R10C",'Mapa final'!#REF!),"")</f>
        <v>#REF!</v>
      </c>
      <c r="AK25" s="31" t="e">
        <f>IF(AND('Mapa final'!#REF!="Alta",'Mapa final'!#REF!="Catastrófico"),CONCATENATE("R10C",'Mapa final'!#REF!),"")</f>
        <v>#REF!</v>
      </c>
      <c r="AL25" s="31" t="e">
        <f>IF(AND('Mapa final'!#REF!="Alta",'Mapa final'!#REF!="Catastrófico"),CONCATENATE("R10C",'Mapa final'!#REF!),"")</f>
        <v>#REF!</v>
      </c>
      <c r="AM25" s="32" t="e">
        <f>IF(AND('Mapa final'!#REF!="Alta",'Mapa final'!#REF!="Catastrófico"),CONCATENATE("R10C",'Mapa final'!#REF!),"")</f>
        <v>#REF!</v>
      </c>
      <c r="AN25" s="1"/>
      <c r="AO25" s="274"/>
      <c r="AP25" s="275"/>
      <c r="AQ25" s="275"/>
      <c r="AR25" s="275"/>
      <c r="AS25" s="275"/>
      <c r="AT25" s="276"/>
    </row>
    <row r="26" spans="2:46" ht="15" customHeight="1" x14ac:dyDescent="0.25">
      <c r="B26" s="263"/>
      <c r="C26" s="218"/>
      <c r="D26" s="219"/>
      <c r="E26" s="281" t="s">
        <v>99</v>
      </c>
      <c r="F26" s="252"/>
      <c r="G26" s="252"/>
      <c r="H26" s="252"/>
      <c r="I26" s="238"/>
      <c r="J26" s="33" t="str">
        <f>IF(AND('Mapa final'!$Y$16="Media",'Mapa final'!$AA$16="Leve"),CONCATENATE("R1C",'Mapa final'!$O$16),"")</f>
        <v/>
      </c>
      <c r="K26" s="34" t="str">
        <f>IF(AND('Mapa final'!$Y$17="Media",'Mapa final'!$AA$17="Leve"),CONCATENATE("R1C",'Mapa final'!$O$17),"")</f>
        <v/>
      </c>
      <c r="L26" s="34" t="str">
        <f>IF(AND('Mapa final'!$Y$18="Media",'Mapa final'!$AA$18="Leve"),CONCATENATE("R1C",'Mapa final'!$O$18),"")</f>
        <v/>
      </c>
      <c r="M26" s="34" t="e">
        <f>IF(AND('Mapa final'!#REF!="Media",'Mapa final'!#REF!="Leve"),CONCATENATE("R1C",'Mapa final'!#REF!),"")</f>
        <v>#REF!</v>
      </c>
      <c r="N26" s="34" t="e">
        <f>IF(AND('Mapa final'!#REF!="Media",'Mapa final'!#REF!="Leve"),CONCATENATE("R1C",'Mapa final'!#REF!),"")</f>
        <v>#REF!</v>
      </c>
      <c r="O26" s="35" t="e">
        <f>IF(AND('Mapa final'!#REF!="Media",'Mapa final'!#REF!="Leve"),CONCATENATE("R1C",'Mapa final'!#REF!),"")</f>
        <v>#REF!</v>
      </c>
      <c r="P26" s="33" t="str">
        <f>IF(AND('Mapa final'!$Y$16="Media",'Mapa final'!$AA$16="Menor"),CONCATENATE("R1C",'Mapa final'!$O$16),"")</f>
        <v>R1C1</v>
      </c>
      <c r="Q26" s="34" t="str">
        <f>IF(AND('Mapa final'!$Y$17="Media",'Mapa final'!$AA$17="Menor"),CONCATENATE("R1C",'Mapa final'!$O$17),"")</f>
        <v/>
      </c>
      <c r="R26" s="34" t="str">
        <f>IF(AND('Mapa final'!$Y$18="Media",'Mapa final'!$AA$18="Menor"),CONCATENATE("R1C",'Mapa final'!$O$18),"")</f>
        <v/>
      </c>
      <c r="S26" s="34" t="e">
        <f>IF(AND('Mapa final'!#REF!="Media",'Mapa final'!#REF!="Menor"),CONCATENATE("R1C",'Mapa final'!#REF!),"")</f>
        <v>#REF!</v>
      </c>
      <c r="T26" s="34" t="e">
        <f>IF(AND('Mapa final'!#REF!="Media",'Mapa final'!#REF!="Menor"),CONCATENATE("R1C",'Mapa final'!#REF!),"")</f>
        <v>#REF!</v>
      </c>
      <c r="U26" s="35" t="e">
        <f>IF(AND('Mapa final'!#REF!="Media",'Mapa final'!#REF!="Menor"),CONCATENATE("R1C",'Mapa final'!#REF!),"")</f>
        <v>#REF!</v>
      </c>
      <c r="V26" s="33" t="str">
        <f>IF(AND('Mapa final'!$Y$16="Media",'Mapa final'!$AA$16="Moderado"),CONCATENATE("R1C",'Mapa final'!$O$16),"")</f>
        <v/>
      </c>
      <c r="W26" s="34" t="str">
        <f>IF(AND('Mapa final'!$Y$17="Media",'Mapa final'!$AA$17="Moderado"),CONCATENATE("R1C",'Mapa final'!$O$17),"")</f>
        <v/>
      </c>
      <c r="X26" s="34" t="str">
        <f>IF(AND('Mapa final'!$Y$18="Media",'Mapa final'!$AA$18="Moderado"),CONCATENATE("R1C",'Mapa final'!$O$18),"")</f>
        <v/>
      </c>
      <c r="Y26" s="34" t="e">
        <f>IF(AND('Mapa final'!#REF!="Media",'Mapa final'!#REF!="Moderado"),CONCATENATE("R1C",'Mapa final'!#REF!),"")</f>
        <v>#REF!</v>
      </c>
      <c r="Z26" s="34" t="e">
        <f>IF(AND('Mapa final'!#REF!="Media",'Mapa final'!#REF!="Moderado"),CONCATENATE("R1C",'Mapa final'!#REF!),"")</f>
        <v>#REF!</v>
      </c>
      <c r="AA26" s="35" t="e">
        <f>IF(AND('Mapa final'!#REF!="Media",'Mapa final'!#REF!="Moderado"),CONCATENATE("R1C",'Mapa final'!#REF!),"")</f>
        <v>#REF!</v>
      </c>
      <c r="AB26" s="15" t="str">
        <f>IF(AND('Mapa final'!$Y$16="Media",'Mapa final'!$AA$16="Mayor"),CONCATENATE("R1C",'Mapa final'!$O$16),"")</f>
        <v/>
      </c>
      <c r="AC26" s="16" t="str">
        <f>IF(AND('Mapa final'!$Y$17="Media",'Mapa final'!$AA$17="Mayor"),CONCATENATE("R1C",'Mapa final'!$O$17),"")</f>
        <v/>
      </c>
      <c r="AD26" s="16" t="str">
        <f>IF(AND('Mapa final'!$Y$18="Media",'Mapa final'!$AA$18="Mayor"),CONCATENATE("R1C",'Mapa final'!$O$18),"")</f>
        <v/>
      </c>
      <c r="AE26" s="16" t="e">
        <f>IF(AND('Mapa final'!#REF!="Media",'Mapa final'!#REF!="Mayor"),CONCATENATE("R1C",'Mapa final'!#REF!),"")</f>
        <v>#REF!</v>
      </c>
      <c r="AF26" s="16" t="e">
        <f>IF(AND('Mapa final'!#REF!="Media",'Mapa final'!#REF!="Mayor"),CONCATENATE("R1C",'Mapa final'!#REF!),"")</f>
        <v>#REF!</v>
      </c>
      <c r="AG26" s="17" t="e">
        <f>IF(AND('Mapa final'!#REF!="Media",'Mapa final'!#REF!="Mayor"),CONCATENATE("R1C",'Mapa final'!#REF!),"")</f>
        <v>#REF!</v>
      </c>
      <c r="AH26" s="18" t="str">
        <f>IF(AND('Mapa final'!$Y$16="Media",'Mapa final'!$AA$16="Catastrófico"),CONCATENATE("R1C",'Mapa final'!$O$16),"")</f>
        <v/>
      </c>
      <c r="AI26" s="19" t="str">
        <f>IF(AND('Mapa final'!$Y$17="Media",'Mapa final'!$AA$17="Catastrófico"),CONCATENATE("R1C",'Mapa final'!$O$17),"")</f>
        <v/>
      </c>
      <c r="AJ26" s="19" t="str">
        <f>IF(AND('Mapa final'!$Y$18="Media",'Mapa final'!$AA$18="Catastrófico"),CONCATENATE("R1C",'Mapa final'!$O$18),"")</f>
        <v/>
      </c>
      <c r="AK26" s="19" t="e">
        <f>IF(AND('Mapa final'!#REF!="Media",'Mapa final'!#REF!="Catastrófico"),CONCATENATE("R1C",'Mapa final'!#REF!),"")</f>
        <v>#REF!</v>
      </c>
      <c r="AL26" s="19" t="e">
        <f>IF(AND('Mapa final'!#REF!="Media",'Mapa final'!#REF!="Catastrófico"),CONCATENATE("R1C",'Mapa final'!#REF!),"")</f>
        <v>#REF!</v>
      </c>
      <c r="AM26" s="20" t="e">
        <f>IF(AND('Mapa final'!#REF!="Media",'Mapa final'!#REF!="Catastrófico"),CONCATENATE("R1C",'Mapa final'!#REF!),"")</f>
        <v>#REF!</v>
      </c>
      <c r="AN26" s="1"/>
      <c r="AO26" s="283" t="s">
        <v>100</v>
      </c>
      <c r="AP26" s="270"/>
      <c r="AQ26" s="270"/>
      <c r="AR26" s="270"/>
      <c r="AS26" s="270"/>
      <c r="AT26" s="271"/>
    </row>
    <row r="27" spans="2:46" ht="15" customHeight="1" x14ac:dyDescent="0.25">
      <c r="B27" s="263"/>
      <c r="C27" s="218"/>
      <c r="D27" s="219"/>
      <c r="E27" s="230"/>
      <c r="F27" s="218"/>
      <c r="G27" s="218"/>
      <c r="H27" s="218"/>
      <c r="I27" s="219"/>
      <c r="J27" s="36" t="str">
        <f>IF(AND('Mapa final'!$Y$23="Media",'Mapa final'!$AA$23="Leve"),CONCATENATE("R2C",'Mapa final'!$O$23),"")</f>
        <v/>
      </c>
      <c r="K27" s="37" t="e">
        <f>IF(AND('Mapa final'!#REF!="Media",'Mapa final'!#REF!="Leve"),CONCATENATE("R2C",'Mapa final'!#REF!),"")</f>
        <v>#REF!</v>
      </c>
      <c r="L27" s="37" t="e">
        <f>IF(AND('Mapa final'!#REF!="Media",'Mapa final'!#REF!="Leve"),CONCATENATE("R2C",'Mapa final'!#REF!),"")</f>
        <v>#REF!</v>
      </c>
      <c r="M27" s="37" t="e">
        <f>IF(AND('Mapa final'!#REF!="Media",'Mapa final'!#REF!="Leve"),CONCATENATE("R2C",'Mapa final'!#REF!),"")</f>
        <v>#REF!</v>
      </c>
      <c r="N27" s="37" t="str">
        <f>IF(AND('Mapa final'!$Y$24="Media",'Mapa final'!$AA$24="Leve"),CONCATENATE("R2C",'Mapa final'!$O$24),"")</f>
        <v/>
      </c>
      <c r="O27" s="38" t="str">
        <f>IF(AND('Mapa final'!$Y$25="Media",'Mapa final'!$AA$25="Leve"),CONCATENATE("R2C",'Mapa final'!$O$25),"")</f>
        <v/>
      </c>
      <c r="P27" s="36" t="str">
        <f>IF(AND('Mapa final'!$Y$23="Media",'Mapa final'!$AA$23="Menor"),CONCATENATE("R2C",'Mapa final'!$O$23),"")</f>
        <v>R2C1</v>
      </c>
      <c r="Q27" s="37" t="e">
        <f>IF(AND('Mapa final'!#REF!="Media",'Mapa final'!#REF!="Menor"),CONCATENATE("R2C",'Mapa final'!#REF!),"")</f>
        <v>#REF!</v>
      </c>
      <c r="R27" s="37" t="e">
        <f>IF(AND('Mapa final'!#REF!="Media",'Mapa final'!#REF!="Menor"),CONCATENATE("R2C",'Mapa final'!#REF!),"")</f>
        <v>#REF!</v>
      </c>
      <c r="S27" s="37" t="e">
        <f>IF(AND('Mapa final'!#REF!="Media",'Mapa final'!#REF!="Menor"),CONCATENATE("R2C",'Mapa final'!#REF!),"")</f>
        <v>#REF!</v>
      </c>
      <c r="T27" s="37" t="str">
        <f>IF(AND('Mapa final'!$Y$24="Media",'Mapa final'!$AA$24="Menor"),CONCATENATE("R2C",'Mapa final'!$O$24),"")</f>
        <v/>
      </c>
      <c r="U27" s="38" t="str">
        <f>IF(AND('Mapa final'!$Y$25="Media",'Mapa final'!$AA$25="Menor"),CONCATENATE("R2C",'Mapa final'!$O$25),"")</f>
        <v/>
      </c>
      <c r="V27" s="36" t="str">
        <f>IF(AND('Mapa final'!$Y$23="Media",'Mapa final'!$AA$23="Moderado"),CONCATENATE("R2C",'Mapa final'!$O$23),"")</f>
        <v/>
      </c>
      <c r="W27" s="37" t="e">
        <f>IF(AND('Mapa final'!#REF!="Media",'Mapa final'!#REF!="Moderado"),CONCATENATE("R2C",'Mapa final'!#REF!),"")</f>
        <v>#REF!</v>
      </c>
      <c r="X27" s="37" t="e">
        <f>IF(AND('Mapa final'!#REF!="Media",'Mapa final'!#REF!="Moderado"),CONCATENATE("R2C",'Mapa final'!#REF!),"")</f>
        <v>#REF!</v>
      </c>
      <c r="Y27" s="37" t="e">
        <f>IF(AND('Mapa final'!#REF!="Media",'Mapa final'!#REF!="Moderado"),CONCATENATE("R2C",'Mapa final'!#REF!),"")</f>
        <v>#REF!</v>
      </c>
      <c r="Z27" s="37" t="str">
        <f>IF(AND('Mapa final'!$Y$24="Media",'Mapa final'!$AA$24="Moderado"),CONCATENATE("R2C",'Mapa final'!$O$24),"")</f>
        <v/>
      </c>
      <c r="AA27" s="38" t="str">
        <f>IF(AND('Mapa final'!$Y$25="Media",'Mapa final'!$AA$25="Moderado"),CONCATENATE("R2C",'Mapa final'!$O$25),"")</f>
        <v/>
      </c>
      <c r="AB27" s="21" t="str">
        <f>IF(AND('Mapa final'!$Y$23="Media",'Mapa final'!$AA$23="Mayor"),CONCATENATE("R2C",'Mapa final'!$O$23),"")</f>
        <v/>
      </c>
      <c r="AC27" s="22" t="e">
        <f>IF(AND('Mapa final'!#REF!="Media",'Mapa final'!#REF!="Mayor"),CONCATENATE("R2C",'Mapa final'!#REF!),"")</f>
        <v>#REF!</v>
      </c>
      <c r="AD27" s="22" t="e">
        <f>IF(AND('Mapa final'!#REF!="Media",'Mapa final'!#REF!="Mayor"),CONCATENATE("R2C",'Mapa final'!#REF!),"")</f>
        <v>#REF!</v>
      </c>
      <c r="AE27" s="22" t="e">
        <f>IF(AND('Mapa final'!#REF!="Media",'Mapa final'!#REF!="Mayor"),CONCATENATE("R2C",'Mapa final'!#REF!),"")</f>
        <v>#REF!</v>
      </c>
      <c r="AF27" s="22" t="str">
        <f>IF(AND('Mapa final'!$Y$24="Media",'Mapa final'!$AA$24="Mayor"),CONCATENATE("R2C",'Mapa final'!$O$24),"")</f>
        <v/>
      </c>
      <c r="AG27" s="23" t="str">
        <f>IF(AND('Mapa final'!$Y$25="Media",'Mapa final'!$AA$25="Mayor"),CONCATENATE("R2C",'Mapa final'!$O$25),"")</f>
        <v/>
      </c>
      <c r="AH27" s="24" t="str">
        <f>IF(AND('Mapa final'!$Y$23="Media",'Mapa final'!$AA$23="Catastrófico"),CONCATENATE("R2C",'Mapa final'!$O$23),"")</f>
        <v/>
      </c>
      <c r="AI27" s="25" t="e">
        <f>IF(AND('Mapa final'!#REF!="Media",'Mapa final'!#REF!="Catastrófico"),CONCATENATE("R2C",'Mapa final'!#REF!),"")</f>
        <v>#REF!</v>
      </c>
      <c r="AJ27" s="25" t="e">
        <f>IF(AND('Mapa final'!#REF!="Media",'Mapa final'!#REF!="Catastrófico"),CONCATENATE("R2C",'Mapa final'!#REF!),"")</f>
        <v>#REF!</v>
      </c>
      <c r="AK27" s="25" t="e">
        <f>IF(AND('Mapa final'!#REF!="Media",'Mapa final'!#REF!="Catastrófico"),CONCATENATE("R2C",'Mapa final'!#REF!),"")</f>
        <v>#REF!</v>
      </c>
      <c r="AL27" s="25" t="str">
        <f>IF(AND('Mapa final'!$Y$24="Media",'Mapa final'!$AA$24="Catastrófico"),CONCATENATE("R2C",'Mapa final'!$O$24),"")</f>
        <v/>
      </c>
      <c r="AM27" s="26" t="str">
        <f>IF(AND('Mapa final'!$Y$25="Media",'Mapa final'!$AA$25="Catastrófico"),CONCATENATE("R2C",'Mapa final'!$O$25),"")</f>
        <v/>
      </c>
      <c r="AN27" s="1"/>
      <c r="AO27" s="272"/>
      <c r="AP27" s="218"/>
      <c r="AQ27" s="218"/>
      <c r="AR27" s="218"/>
      <c r="AS27" s="218"/>
      <c r="AT27" s="273"/>
    </row>
    <row r="28" spans="2:46" ht="15" customHeight="1" x14ac:dyDescent="0.25">
      <c r="B28" s="263"/>
      <c r="C28" s="218"/>
      <c r="D28" s="219"/>
      <c r="E28" s="230"/>
      <c r="F28" s="218"/>
      <c r="G28" s="218"/>
      <c r="H28" s="218"/>
      <c r="I28" s="219"/>
      <c r="J28" s="36" t="str">
        <f>IF(AND('Mapa final'!$Y$30="Media",'Mapa final'!$AA$30="Leve"),CONCATENATE("R3C",'Mapa final'!$O$30),"")</f>
        <v/>
      </c>
      <c r="K28" s="37" t="str">
        <f>IF(AND('Mapa final'!$Y$31="Media",'Mapa final'!$AA$31="Leve"),CONCATENATE("R3C",'Mapa final'!$O$31),"")</f>
        <v/>
      </c>
      <c r="L28" s="37" t="str">
        <f>IF(AND('Mapa final'!$Y$32="Media",'Mapa final'!$AA$32="Leve"),CONCATENATE("R3C",'Mapa final'!$O$32),"")</f>
        <v/>
      </c>
      <c r="M28" s="37" t="e">
        <f>IF(AND('Mapa final'!#REF!="Media",'Mapa final'!#REF!="Leve"),CONCATENATE("R3C",'Mapa final'!#REF!),"")</f>
        <v>#REF!</v>
      </c>
      <c r="N28" s="37" t="e">
        <f>IF(AND('Mapa final'!#REF!="Media",'Mapa final'!#REF!="Leve"),CONCATENATE("R3C",'Mapa final'!#REF!),"")</f>
        <v>#REF!</v>
      </c>
      <c r="O28" s="38" t="e">
        <f>IF(AND('Mapa final'!#REF!="Media",'Mapa final'!#REF!="Leve"),CONCATENATE("R3C",'Mapa final'!#REF!),"")</f>
        <v>#REF!</v>
      </c>
      <c r="P28" s="36" t="str">
        <f>IF(AND('Mapa final'!$Y$30="Media",'Mapa final'!$AA$30="Menor"),CONCATENATE("R3C",'Mapa final'!$O$30),"")</f>
        <v>R3C8</v>
      </c>
      <c r="Q28" s="37" t="str">
        <f>IF(AND('Mapa final'!$Y$31="Media",'Mapa final'!$AA$31="Menor"),CONCATENATE("R3C",'Mapa final'!$O$31),"")</f>
        <v/>
      </c>
      <c r="R28" s="37" t="str">
        <f>IF(AND('Mapa final'!$Y$32="Media",'Mapa final'!$AA$32="Menor"),CONCATENATE("R3C",'Mapa final'!$O$32),"")</f>
        <v/>
      </c>
      <c r="S28" s="37" t="e">
        <f>IF(AND('Mapa final'!#REF!="Media",'Mapa final'!#REF!="Menor"),CONCATENATE("R3C",'Mapa final'!#REF!),"")</f>
        <v>#REF!</v>
      </c>
      <c r="T28" s="37" t="e">
        <f>IF(AND('Mapa final'!#REF!="Media",'Mapa final'!#REF!="Menor"),CONCATENATE("R3C",'Mapa final'!#REF!),"")</f>
        <v>#REF!</v>
      </c>
      <c r="U28" s="38" t="e">
        <f>IF(AND('Mapa final'!#REF!="Media",'Mapa final'!#REF!="Menor"),CONCATENATE("R3C",'Mapa final'!#REF!),"")</f>
        <v>#REF!</v>
      </c>
      <c r="V28" s="36" t="str">
        <f>IF(AND('Mapa final'!$Y$30="Media",'Mapa final'!$AA$30="Moderado"),CONCATENATE("R3C",'Mapa final'!$O$30),"")</f>
        <v/>
      </c>
      <c r="W28" s="37" t="str">
        <f>IF(AND('Mapa final'!$Y$31="Media",'Mapa final'!$AA$31="Moderado"),CONCATENATE("R3C",'Mapa final'!$O$31),"")</f>
        <v/>
      </c>
      <c r="X28" s="37" t="str">
        <f>IF(AND('Mapa final'!$Y$32="Media",'Mapa final'!$AA$32="Moderado"),CONCATENATE("R3C",'Mapa final'!$O$32),"")</f>
        <v/>
      </c>
      <c r="Y28" s="37" t="e">
        <f>IF(AND('Mapa final'!#REF!="Media",'Mapa final'!#REF!="Moderado"),CONCATENATE("R3C",'Mapa final'!#REF!),"")</f>
        <v>#REF!</v>
      </c>
      <c r="Z28" s="37" t="e">
        <f>IF(AND('Mapa final'!#REF!="Media",'Mapa final'!#REF!="Moderado"),CONCATENATE("R3C",'Mapa final'!#REF!),"")</f>
        <v>#REF!</v>
      </c>
      <c r="AA28" s="38" t="e">
        <f>IF(AND('Mapa final'!#REF!="Media",'Mapa final'!#REF!="Moderado"),CONCATENATE("R3C",'Mapa final'!#REF!),"")</f>
        <v>#REF!</v>
      </c>
      <c r="AB28" s="21" t="str">
        <f>IF(AND('Mapa final'!$Y$30="Media",'Mapa final'!$AA$30="Mayor"),CONCATENATE("R3C",'Mapa final'!$O$30),"")</f>
        <v/>
      </c>
      <c r="AC28" s="22" t="str">
        <f>IF(AND('Mapa final'!$Y$31="Media",'Mapa final'!$AA$31="Mayor"),CONCATENATE("R3C",'Mapa final'!$O$31),"")</f>
        <v/>
      </c>
      <c r="AD28" s="22" t="str">
        <f>IF(AND('Mapa final'!$Y$32="Media",'Mapa final'!$AA$32="Mayor"),CONCATENATE("R3C",'Mapa final'!$O$32),"")</f>
        <v/>
      </c>
      <c r="AE28" s="22" t="e">
        <f>IF(AND('Mapa final'!#REF!="Media",'Mapa final'!#REF!="Mayor"),CONCATENATE("R3C",'Mapa final'!#REF!),"")</f>
        <v>#REF!</v>
      </c>
      <c r="AF28" s="22" t="e">
        <f>IF(AND('Mapa final'!#REF!="Media",'Mapa final'!#REF!="Mayor"),CONCATENATE("R3C",'Mapa final'!#REF!),"")</f>
        <v>#REF!</v>
      </c>
      <c r="AG28" s="23" t="e">
        <f>IF(AND('Mapa final'!#REF!="Media",'Mapa final'!#REF!="Mayor"),CONCATENATE("R3C",'Mapa final'!#REF!),"")</f>
        <v>#REF!</v>
      </c>
      <c r="AH28" s="24" t="str">
        <f>IF(AND('Mapa final'!$Y$30="Media",'Mapa final'!$AA$30="Catastrófico"),CONCATENATE("R3C",'Mapa final'!$O$30),"")</f>
        <v/>
      </c>
      <c r="AI28" s="25" t="str">
        <f>IF(AND('Mapa final'!$Y$31="Media",'Mapa final'!$AA$31="Catastrófico"),CONCATENATE("R3C",'Mapa final'!$O$31),"")</f>
        <v/>
      </c>
      <c r="AJ28" s="25" t="str">
        <f>IF(AND('Mapa final'!$Y$32="Media",'Mapa final'!$AA$32="Catastrófico"),CONCATENATE("R3C",'Mapa final'!$O$32),"")</f>
        <v/>
      </c>
      <c r="AK28" s="25" t="e">
        <f>IF(AND('Mapa final'!#REF!="Media",'Mapa final'!#REF!="Catastrófico"),CONCATENATE("R3C",'Mapa final'!#REF!),"")</f>
        <v>#REF!</v>
      </c>
      <c r="AL28" s="25" t="e">
        <f>IF(AND('Mapa final'!#REF!="Media",'Mapa final'!#REF!="Catastrófico"),CONCATENATE("R3C",'Mapa final'!#REF!),"")</f>
        <v>#REF!</v>
      </c>
      <c r="AM28" s="26" t="e">
        <f>IF(AND('Mapa final'!#REF!="Media",'Mapa final'!#REF!="Catastrófico"),CONCATENATE("R3C",'Mapa final'!#REF!),"")</f>
        <v>#REF!</v>
      </c>
      <c r="AN28" s="1"/>
      <c r="AO28" s="272"/>
      <c r="AP28" s="218"/>
      <c r="AQ28" s="218"/>
      <c r="AR28" s="218"/>
      <c r="AS28" s="218"/>
      <c r="AT28" s="273"/>
    </row>
    <row r="29" spans="2:46" ht="15" customHeight="1" x14ac:dyDescent="0.25">
      <c r="B29" s="263"/>
      <c r="C29" s="218"/>
      <c r="D29" s="219"/>
      <c r="E29" s="230"/>
      <c r="F29" s="218"/>
      <c r="G29" s="218"/>
      <c r="H29" s="218"/>
      <c r="I29" s="219"/>
      <c r="J29" s="36" t="str">
        <f>IF(AND('Mapa final'!$Y$37="Media",'Mapa final'!$AA$37="Leve"),CONCATENATE("R4C",'Mapa final'!$O$37),"")</f>
        <v/>
      </c>
      <c r="K29" s="37" t="str">
        <f>IF(AND('Mapa final'!$Y$38="Media",'Mapa final'!$AA$38="Leve"),CONCATENATE("R4C",'Mapa final'!$O$38),"")</f>
        <v/>
      </c>
      <c r="L29" s="37" t="e">
        <f>IF(AND('Mapa final'!#REF!="Media",'Mapa final'!#REF!="Leve"),CONCATENATE("R4C",'Mapa final'!#REF!),"")</f>
        <v>#REF!</v>
      </c>
      <c r="M29" s="37" t="str">
        <f>IF(AND('Mapa final'!$Y$39="Media",'Mapa final'!$AA$39="Leve"),CONCATENATE("R4C",'Mapa final'!$O$39),"")</f>
        <v/>
      </c>
      <c r="N29" s="37" t="e">
        <f>IF(AND('Mapa final'!#REF!="Media",'Mapa final'!#REF!="Leve"),CONCATENATE("R4C",'Mapa final'!#REF!),"")</f>
        <v>#REF!</v>
      </c>
      <c r="O29" s="38" t="e">
        <f>IF(AND('Mapa final'!#REF!="Media",'Mapa final'!#REF!="Leve"),CONCATENATE("R4C",'Mapa final'!#REF!),"")</f>
        <v>#REF!</v>
      </c>
      <c r="P29" s="36" t="str">
        <f>IF(AND('Mapa final'!$Y$37="Media",'Mapa final'!$AA$37="Menor"),CONCATENATE("R4C",'Mapa final'!$O$37),"")</f>
        <v>R4C1</v>
      </c>
      <c r="Q29" s="37" t="str">
        <f>IF(AND('Mapa final'!$Y$38="Media",'Mapa final'!$AA$38="Menor"),CONCATENATE("R4C",'Mapa final'!$O$38),"")</f>
        <v/>
      </c>
      <c r="R29" s="37" t="e">
        <f>IF(AND('Mapa final'!#REF!="Media",'Mapa final'!#REF!="Menor"),CONCATENATE("R4C",'Mapa final'!#REF!),"")</f>
        <v>#REF!</v>
      </c>
      <c r="S29" s="37" t="str">
        <f>IF(AND('Mapa final'!$Y$39="Media",'Mapa final'!$AA$39="Menor"),CONCATENATE("R4C",'Mapa final'!$O$39),"")</f>
        <v/>
      </c>
      <c r="T29" s="37" t="e">
        <f>IF(AND('Mapa final'!#REF!="Media",'Mapa final'!#REF!="Menor"),CONCATENATE("R4C",'Mapa final'!#REF!),"")</f>
        <v>#REF!</v>
      </c>
      <c r="U29" s="38" t="e">
        <f>IF(AND('Mapa final'!#REF!="Media",'Mapa final'!#REF!="Menor"),CONCATENATE("R4C",'Mapa final'!#REF!),"")</f>
        <v>#REF!</v>
      </c>
      <c r="V29" s="36" t="str">
        <f>IF(AND('Mapa final'!$Y$37="Media",'Mapa final'!$AA$37="Moderado"),CONCATENATE("R4C",'Mapa final'!$O$37),"")</f>
        <v/>
      </c>
      <c r="W29" s="37" t="str">
        <f>IF(AND('Mapa final'!$Y$38="Media",'Mapa final'!$AA$38="Moderado"),CONCATENATE("R4C",'Mapa final'!$O$38),"")</f>
        <v/>
      </c>
      <c r="X29" s="37" t="e">
        <f>IF(AND('Mapa final'!#REF!="Media",'Mapa final'!#REF!="Moderado"),CONCATENATE("R4C",'Mapa final'!#REF!),"")</f>
        <v>#REF!</v>
      </c>
      <c r="Y29" s="37" t="str">
        <f>IF(AND('Mapa final'!$Y$39="Media",'Mapa final'!$AA$39="Moderado"),CONCATENATE("R4C",'Mapa final'!$O$39),"")</f>
        <v/>
      </c>
      <c r="Z29" s="37" t="e">
        <f>IF(AND('Mapa final'!#REF!="Media",'Mapa final'!#REF!="Moderado"),CONCATENATE("R4C",'Mapa final'!#REF!),"")</f>
        <v>#REF!</v>
      </c>
      <c r="AA29" s="38" t="e">
        <f>IF(AND('Mapa final'!#REF!="Media",'Mapa final'!#REF!="Moderado"),CONCATENATE("R4C",'Mapa final'!#REF!),"")</f>
        <v>#REF!</v>
      </c>
      <c r="AB29" s="21" t="str">
        <f>IF(AND('Mapa final'!$Y$37="Media",'Mapa final'!$AA$37="Mayor"),CONCATENATE("R4C",'Mapa final'!$O$37),"")</f>
        <v/>
      </c>
      <c r="AC29" s="22" t="str">
        <f>IF(AND('Mapa final'!$Y$38="Media",'Mapa final'!$AA$38="Mayor"),CONCATENATE("R4C",'Mapa final'!$O$38),"")</f>
        <v/>
      </c>
      <c r="AD29" s="22" t="e">
        <f>IF(AND('Mapa final'!#REF!="Media",'Mapa final'!#REF!="Mayor"),CONCATENATE("R4C",'Mapa final'!#REF!),"")</f>
        <v>#REF!</v>
      </c>
      <c r="AE29" s="22" t="str">
        <f>IF(AND('Mapa final'!$Y$39="Media",'Mapa final'!$AA$39="Mayor"),CONCATENATE("R4C",'Mapa final'!$O$39),"")</f>
        <v/>
      </c>
      <c r="AF29" s="22" t="e">
        <f>IF(AND('Mapa final'!#REF!="Media",'Mapa final'!#REF!="Mayor"),CONCATENATE("R4C",'Mapa final'!#REF!),"")</f>
        <v>#REF!</v>
      </c>
      <c r="AG29" s="23" t="e">
        <f>IF(AND('Mapa final'!#REF!="Media",'Mapa final'!#REF!="Mayor"),CONCATENATE("R4C",'Mapa final'!#REF!),"")</f>
        <v>#REF!</v>
      </c>
      <c r="AH29" s="24" t="str">
        <f>IF(AND('Mapa final'!$Y$37="Media",'Mapa final'!$AA$37="Catastrófico"),CONCATENATE("R4C",'Mapa final'!$O$37),"")</f>
        <v/>
      </c>
      <c r="AI29" s="25" t="str">
        <f>IF(AND('Mapa final'!$Y$38="Media",'Mapa final'!$AA$38="Catastrófico"),CONCATENATE("R4C",'Mapa final'!$O$38),"")</f>
        <v/>
      </c>
      <c r="AJ29" s="25" t="e">
        <f>IF(AND('Mapa final'!#REF!="Media",'Mapa final'!#REF!="Catastrófico"),CONCATENATE("R4C",'Mapa final'!#REF!),"")</f>
        <v>#REF!</v>
      </c>
      <c r="AK29" s="25" t="str">
        <f>IF(AND('Mapa final'!$Y$39="Media",'Mapa final'!$AA$39="Catastrófico"),CONCATENATE("R4C",'Mapa final'!$O$39),"")</f>
        <v/>
      </c>
      <c r="AL29" s="25" t="e">
        <f>IF(AND('Mapa final'!#REF!="Media",'Mapa final'!#REF!="Catastrófico"),CONCATENATE("R4C",'Mapa final'!#REF!),"")</f>
        <v>#REF!</v>
      </c>
      <c r="AM29" s="26" t="e">
        <f>IF(AND('Mapa final'!#REF!="Media",'Mapa final'!#REF!="Catastrófico"),CONCATENATE("R4C",'Mapa final'!#REF!),"")</f>
        <v>#REF!</v>
      </c>
      <c r="AN29" s="1"/>
      <c r="AO29" s="272"/>
      <c r="AP29" s="218"/>
      <c r="AQ29" s="218"/>
      <c r="AR29" s="218"/>
      <c r="AS29" s="218"/>
      <c r="AT29" s="273"/>
    </row>
    <row r="30" spans="2:46" ht="15" customHeight="1" x14ac:dyDescent="0.25">
      <c r="B30" s="263"/>
      <c r="C30" s="218"/>
      <c r="D30" s="219"/>
      <c r="E30" s="230"/>
      <c r="F30" s="218"/>
      <c r="G30" s="218"/>
      <c r="H30" s="218"/>
      <c r="I30" s="219"/>
      <c r="J30" s="36" t="str">
        <f>IF(AND('Mapa final'!$Y$44="Media",'Mapa final'!$AA$44="Leve"),CONCATENATE("R5C",'Mapa final'!$O$44),"")</f>
        <v/>
      </c>
      <c r="K30" s="37" t="str">
        <f>IF(AND('Mapa final'!$Y$45="Media",'Mapa final'!$AA$45="Leve"),CONCATENATE("R5C",'Mapa final'!$O$45),"")</f>
        <v/>
      </c>
      <c r="L30" s="37" t="str">
        <f>IF(AND('Mapa final'!$Y$46="Media",'Mapa final'!$AA$46="Leve"),CONCATENATE("R5C",'Mapa final'!$O$46),"")</f>
        <v/>
      </c>
      <c r="M30" s="37" t="e">
        <f>IF(AND('Mapa final'!#REF!="Media",'Mapa final'!#REF!="Leve"),CONCATENATE("R5C",'Mapa final'!#REF!),"")</f>
        <v>#REF!</v>
      </c>
      <c r="N30" s="37" t="e">
        <f>IF(AND('Mapa final'!#REF!="Media",'Mapa final'!#REF!="Leve"),CONCATENATE("R5C",'Mapa final'!#REF!),"")</f>
        <v>#REF!</v>
      </c>
      <c r="O30" s="38" t="e">
        <f>IF(AND('Mapa final'!#REF!="Media",'Mapa final'!#REF!="Leve"),CONCATENATE("R5C",'Mapa final'!#REF!),"")</f>
        <v>#REF!</v>
      </c>
      <c r="P30" s="36" t="str">
        <f>IF(AND('Mapa final'!$Y$44="Media",'Mapa final'!$AA$44="Menor"),CONCATENATE("R5C",'Mapa final'!$O$44),"")</f>
        <v/>
      </c>
      <c r="Q30" s="37" t="str">
        <f>IF(AND('Mapa final'!$Y$45="Media",'Mapa final'!$AA$45="Menor"),CONCATENATE("R5C",'Mapa final'!$O$45),"")</f>
        <v/>
      </c>
      <c r="R30" s="37" t="str">
        <f>IF(AND('Mapa final'!$Y$46="Media",'Mapa final'!$AA$46="Menor"),CONCATENATE("R5C",'Mapa final'!$O$46),"")</f>
        <v/>
      </c>
      <c r="S30" s="37" t="e">
        <f>IF(AND('Mapa final'!#REF!="Media",'Mapa final'!#REF!="Menor"),CONCATENATE("R5C",'Mapa final'!#REF!),"")</f>
        <v>#REF!</v>
      </c>
      <c r="T30" s="37" t="e">
        <f>IF(AND('Mapa final'!#REF!="Media",'Mapa final'!#REF!="Menor"),CONCATENATE("R5C",'Mapa final'!#REF!),"")</f>
        <v>#REF!</v>
      </c>
      <c r="U30" s="38" t="e">
        <f>IF(AND('Mapa final'!#REF!="Media",'Mapa final'!#REF!="Menor"),CONCATENATE("R5C",'Mapa final'!#REF!),"")</f>
        <v>#REF!</v>
      </c>
      <c r="V30" s="36" t="str">
        <f>IF(AND('Mapa final'!$Y$44="Media",'Mapa final'!$AA$44="Moderado"),CONCATENATE("R5C",'Mapa final'!$O$44),"")</f>
        <v/>
      </c>
      <c r="W30" s="37" t="str">
        <f>IF(AND('Mapa final'!$Y$45="Media",'Mapa final'!$AA$45="Moderado"),CONCATENATE("R5C",'Mapa final'!$O$45),"")</f>
        <v/>
      </c>
      <c r="X30" s="37" t="str">
        <f>IF(AND('Mapa final'!$Y$46="Media",'Mapa final'!$AA$46="Moderado"),CONCATENATE("R5C",'Mapa final'!$O$46),"")</f>
        <v/>
      </c>
      <c r="Y30" s="37" t="e">
        <f>IF(AND('Mapa final'!#REF!="Media",'Mapa final'!#REF!="Moderado"),CONCATENATE("R5C",'Mapa final'!#REF!),"")</f>
        <v>#REF!</v>
      </c>
      <c r="Z30" s="37" t="e">
        <f>IF(AND('Mapa final'!#REF!="Media",'Mapa final'!#REF!="Moderado"),CONCATENATE("R5C",'Mapa final'!#REF!),"")</f>
        <v>#REF!</v>
      </c>
      <c r="AA30" s="38" t="e">
        <f>IF(AND('Mapa final'!#REF!="Media",'Mapa final'!#REF!="Moderado"),CONCATENATE("R5C",'Mapa final'!#REF!),"")</f>
        <v>#REF!</v>
      </c>
      <c r="AB30" s="21" t="str">
        <f>IF(AND('Mapa final'!$Y$44="Media",'Mapa final'!$AA$44="Mayor"),CONCATENATE("R5C",'Mapa final'!$O$44),"")</f>
        <v/>
      </c>
      <c r="AC30" s="22" t="str">
        <f>IF(AND('Mapa final'!$Y$45="Media",'Mapa final'!$AA$45="Mayor"),CONCATENATE("R5C",'Mapa final'!$O$45),"")</f>
        <v/>
      </c>
      <c r="AD30" s="22" t="str">
        <f>IF(AND('Mapa final'!$Y$46="Media",'Mapa final'!$AA$46="Mayor"),CONCATENATE("R5C",'Mapa final'!$O$46),"")</f>
        <v/>
      </c>
      <c r="AE30" s="22" t="e">
        <f>IF(AND('Mapa final'!#REF!="Media",'Mapa final'!#REF!="Mayor"),CONCATENATE("R5C",'Mapa final'!#REF!),"")</f>
        <v>#REF!</v>
      </c>
      <c r="AF30" s="22" t="e">
        <f>IF(AND('Mapa final'!#REF!="Media",'Mapa final'!#REF!="Mayor"),CONCATENATE("R5C",'Mapa final'!#REF!),"")</f>
        <v>#REF!</v>
      </c>
      <c r="AG30" s="23" t="e">
        <f>IF(AND('Mapa final'!#REF!="Media",'Mapa final'!#REF!="Mayor"),CONCATENATE("R5C",'Mapa final'!#REF!),"")</f>
        <v>#REF!</v>
      </c>
      <c r="AH30" s="24" t="str">
        <f>IF(AND('Mapa final'!$Y$44="Media",'Mapa final'!$AA$44="Catastrófico"),CONCATENATE("R5C",'Mapa final'!$O$44),"")</f>
        <v/>
      </c>
      <c r="AI30" s="25" t="str">
        <f>IF(AND('Mapa final'!$Y$45="Media",'Mapa final'!$AA$45="Catastrófico"),CONCATENATE("R5C",'Mapa final'!$O$45),"")</f>
        <v/>
      </c>
      <c r="AJ30" s="25" t="str">
        <f>IF(AND('Mapa final'!$Y$46="Media",'Mapa final'!$AA$46="Catastrófico"),CONCATENATE("R5C",'Mapa final'!$O$46),"")</f>
        <v/>
      </c>
      <c r="AK30" s="25" t="e">
        <f>IF(AND('Mapa final'!#REF!="Media",'Mapa final'!#REF!="Catastrófico"),CONCATENATE("R5C",'Mapa final'!#REF!),"")</f>
        <v>#REF!</v>
      </c>
      <c r="AL30" s="25" t="e">
        <f>IF(AND('Mapa final'!#REF!="Media",'Mapa final'!#REF!="Catastrófico"),CONCATENATE("R5C",'Mapa final'!#REF!),"")</f>
        <v>#REF!</v>
      </c>
      <c r="AM30" s="26" t="e">
        <f>IF(AND('Mapa final'!#REF!="Media",'Mapa final'!#REF!="Catastrófico"),CONCATENATE("R5C",'Mapa final'!#REF!),"")</f>
        <v>#REF!</v>
      </c>
      <c r="AN30" s="1"/>
      <c r="AO30" s="272"/>
      <c r="AP30" s="218"/>
      <c r="AQ30" s="218"/>
      <c r="AR30" s="218"/>
      <c r="AS30" s="218"/>
      <c r="AT30" s="273"/>
    </row>
    <row r="31" spans="2:46" ht="15" customHeight="1" x14ac:dyDescent="0.25">
      <c r="B31" s="263"/>
      <c r="C31" s="218"/>
      <c r="D31" s="219"/>
      <c r="E31" s="230"/>
      <c r="F31" s="218"/>
      <c r="G31" s="218"/>
      <c r="H31" s="218"/>
      <c r="I31" s="219"/>
      <c r="J31" s="36" t="str">
        <f>IF(AND('Mapa final'!$Y$51="Media",'Mapa final'!$AA$51="Leve"),CONCATENATE("R6C",'Mapa final'!$O$51),"")</f>
        <v/>
      </c>
      <c r="K31" s="37" t="str">
        <f>IF(AND('Mapa final'!$Y$52="Media",'Mapa final'!$AA$52="Leve"),CONCATENATE("R6C",'Mapa final'!$O$52),"")</f>
        <v/>
      </c>
      <c r="L31" s="37" t="str">
        <f>IF(AND('Mapa final'!$Y$53="Media",'Mapa final'!$AA$53="Leve"),CONCATENATE("R6C",'Mapa final'!$O$53),"")</f>
        <v/>
      </c>
      <c r="M31" s="37" t="e">
        <f>IF(AND('Mapa final'!#REF!="Media",'Mapa final'!#REF!="Leve"),CONCATENATE("R6C",'Mapa final'!#REF!),"")</f>
        <v>#REF!</v>
      </c>
      <c r="N31" s="37" t="e">
        <f>IF(AND('Mapa final'!#REF!="Media",'Mapa final'!#REF!="Leve"),CONCATENATE("R6C",'Mapa final'!#REF!),"")</f>
        <v>#REF!</v>
      </c>
      <c r="O31" s="38" t="e">
        <f>IF(AND('Mapa final'!#REF!="Media",'Mapa final'!#REF!="Leve"),CONCATENATE("R6C",'Mapa final'!#REF!),"")</f>
        <v>#REF!</v>
      </c>
      <c r="P31" s="36" t="str">
        <f>IF(AND('Mapa final'!$Y$51="Media",'Mapa final'!$AA$51="Menor"),CONCATENATE("R6C",'Mapa final'!$O$51),"")</f>
        <v/>
      </c>
      <c r="Q31" s="37" t="str">
        <f>IF(AND('Mapa final'!$Y$52="Media",'Mapa final'!$AA$52="Menor"),CONCATENATE("R6C",'Mapa final'!$O$52),"")</f>
        <v/>
      </c>
      <c r="R31" s="37" t="str">
        <f>IF(AND('Mapa final'!$Y$53="Media",'Mapa final'!$AA$53="Menor"),CONCATENATE("R6C",'Mapa final'!$O$53),"")</f>
        <v/>
      </c>
      <c r="S31" s="37" t="e">
        <f>IF(AND('Mapa final'!#REF!="Media",'Mapa final'!#REF!="Menor"),CONCATENATE("R6C",'Mapa final'!#REF!),"")</f>
        <v>#REF!</v>
      </c>
      <c r="T31" s="37" t="e">
        <f>IF(AND('Mapa final'!#REF!="Media",'Mapa final'!#REF!="Menor"),CONCATENATE("R6C",'Mapa final'!#REF!),"")</f>
        <v>#REF!</v>
      </c>
      <c r="U31" s="38" t="e">
        <f>IF(AND('Mapa final'!#REF!="Media",'Mapa final'!#REF!="Menor"),CONCATENATE("R6C",'Mapa final'!#REF!),"")</f>
        <v>#REF!</v>
      </c>
      <c r="V31" s="36" t="str">
        <f>IF(AND('Mapa final'!$Y$51="Media",'Mapa final'!$AA$51="Moderado"),CONCATENATE("R6C",'Mapa final'!$O$51),"")</f>
        <v/>
      </c>
      <c r="W31" s="37" t="str">
        <f>IF(AND('Mapa final'!$Y$52="Media",'Mapa final'!$AA$52="Moderado"),CONCATENATE("R6C",'Mapa final'!$O$52),"")</f>
        <v/>
      </c>
      <c r="X31" s="37" t="str">
        <f>IF(AND('Mapa final'!$Y$53="Media",'Mapa final'!$AA$53="Moderado"),CONCATENATE("R6C",'Mapa final'!$O$53),"")</f>
        <v/>
      </c>
      <c r="Y31" s="37" t="e">
        <f>IF(AND('Mapa final'!#REF!="Media",'Mapa final'!#REF!="Moderado"),CONCATENATE("R6C",'Mapa final'!#REF!),"")</f>
        <v>#REF!</v>
      </c>
      <c r="Z31" s="37" t="e">
        <f>IF(AND('Mapa final'!#REF!="Media",'Mapa final'!#REF!="Moderado"),CONCATENATE("R6C",'Mapa final'!#REF!),"")</f>
        <v>#REF!</v>
      </c>
      <c r="AA31" s="38" t="e">
        <f>IF(AND('Mapa final'!#REF!="Media",'Mapa final'!#REF!="Moderado"),CONCATENATE("R6C",'Mapa final'!#REF!),"")</f>
        <v>#REF!</v>
      </c>
      <c r="AB31" s="21" t="str">
        <f>IF(AND('Mapa final'!$Y$51="Media",'Mapa final'!$AA$51="Mayor"),CONCATENATE("R6C",'Mapa final'!$O$51),"")</f>
        <v/>
      </c>
      <c r="AC31" s="22" t="str">
        <f>IF(AND('Mapa final'!$Y$52="Media",'Mapa final'!$AA$52="Mayor"),CONCATENATE("R6C",'Mapa final'!$O$52),"")</f>
        <v/>
      </c>
      <c r="AD31" s="22" t="str">
        <f>IF(AND('Mapa final'!$Y$53="Media",'Mapa final'!$AA$53="Mayor"),CONCATENATE("R6C",'Mapa final'!$O$53),"")</f>
        <v/>
      </c>
      <c r="AE31" s="22" t="e">
        <f>IF(AND('Mapa final'!#REF!="Media",'Mapa final'!#REF!="Mayor"),CONCATENATE("R6C",'Mapa final'!#REF!),"")</f>
        <v>#REF!</v>
      </c>
      <c r="AF31" s="22" t="e">
        <f>IF(AND('Mapa final'!#REF!="Media",'Mapa final'!#REF!="Mayor"),CONCATENATE("R6C",'Mapa final'!#REF!),"")</f>
        <v>#REF!</v>
      </c>
      <c r="AG31" s="23" t="e">
        <f>IF(AND('Mapa final'!#REF!="Media",'Mapa final'!#REF!="Mayor"),CONCATENATE("R6C",'Mapa final'!#REF!),"")</f>
        <v>#REF!</v>
      </c>
      <c r="AH31" s="24" t="str">
        <f>IF(AND('Mapa final'!$Y$51="Media",'Mapa final'!$AA$51="Catastrófico"),CONCATENATE("R6C",'Mapa final'!$O$51),"")</f>
        <v/>
      </c>
      <c r="AI31" s="25" t="str">
        <f>IF(AND('Mapa final'!$Y$52="Media",'Mapa final'!$AA$52="Catastrófico"),CONCATENATE("R6C",'Mapa final'!$O$52),"")</f>
        <v/>
      </c>
      <c r="AJ31" s="25" t="str">
        <f>IF(AND('Mapa final'!$Y$53="Media",'Mapa final'!$AA$53="Catastrófico"),CONCATENATE("R6C",'Mapa final'!$O$53),"")</f>
        <v/>
      </c>
      <c r="AK31" s="25" t="e">
        <f>IF(AND('Mapa final'!#REF!="Media",'Mapa final'!#REF!="Catastrófico"),CONCATENATE("R6C",'Mapa final'!#REF!),"")</f>
        <v>#REF!</v>
      </c>
      <c r="AL31" s="25" t="e">
        <f>IF(AND('Mapa final'!#REF!="Media",'Mapa final'!#REF!="Catastrófico"),CONCATENATE("R6C",'Mapa final'!#REF!),"")</f>
        <v>#REF!</v>
      </c>
      <c r="AM31" s="26" t="e">
        <f>IF(AND('Mapa final'!#REF!="Media",'Mapa final'!#REF!="Catastrófico"),CONCATENATE("R6C",'Mapa final'!#REF!),"")</f>
        <v>#REF!</v>
      </c>
      <c r="AN31" s="1"/>
      <c r="AO31" s="272"/>
      <c r="AP31" s="218"/>
      <c r="AQ31" s="218"/>
      <c r="AR31" s="218"/>
      <c r="AS31" s="218"/>
      <c r="AT31" s="273"/>
    </row>
    <row r="32" spans="2:46" ht="15" customHeight="1" x14ac:dyDescent="0.25">
      <c r="B32" s="263"/>
      <c r="C32" s="218"/>
      <c r="D32" s="219"/>
      <c r="E32" s="230"/>
      <c r="F32" s="218"/>
      <c r="G32" s="218"/>
      <c r="H32" s="218"/>
      <c r="I32" s="219"/>
      <c r="J32" s="36" t="e">
        <f>IF(AND('Mapa final'!#REF!="Media",'Mapa final'!#REF!="Leve"),CONCATENATE("R7C",'Mapa final'!#REF!),"")</f>
        <v>#REF!</v>
      </c>
      <c r="K32" s="37" t="e">
        <f>IF(AND('Mapa final'!#REF!="Media",'Mapa final'!#REF!="Leve"),CONCATENATE("R7C",'Mapa final'!#REF!),"")</f>
        <v>#REF!</v>
      </c>
      <c r="L32" s="37" t="e">
        <f>IF(AND('Mapa final'!#REF!="Media",'Mapa final'!#REF!="Leve"),CONCATENATE("R7C",'Mapa final'!#REF!),"")</f>
        <v>#REF!</v>
      </c>
      <c r="M32" s="37" t="e">
        <f>IF(AND('Mapa final'!#REF!="Media",'Mapa final'!#REF!="Leve"),CONCATENATE("R7C",'Mapa final'!#REF!),"")</f>
        <v>#REF!</v>
      </c>
      <c r="N32" s="37" t="e">
        <f>IF(AND('Mapa final'!#REF!="Media",'Mapa final'!#REF!="Leve"),CONCATENATE("R7C",'Mapa final'!#REF!),"")</f>
        <v>#REF!</v>
      </c>
      <c r="O32" s="38" t="e">
        <f>IF(AND('Mapa final'!#REF!="Media",'Mapa final'!#REF!="Leve"),CONCATENATE("R7C",'Mapa final'!#REF!),"")</f>
        <v>#REF!</v>
      </c>
      <c r="P32" s="36" t="e">
        <f>IF(AND('Mapa final'!#REF!="Media",'Mapa final'!#REF!="Menor"),CONCATENATE("R7C",'Mapa final'!#REF!),"")</f>
        <v>#REF!</v>
      </c>
      <c r="Q32" s="37" t="e">
        <f>IF(AND('Mapa final'!#REF!="Media",'Mapa final'!#REF!="Menor"),CONCATENATE("R7C",'Mapa final'!#REF!),"")</f>
        <v>#REF!</v>
      </c>
      <c r="R32" s="37" t="e">
        <f>IF(AND('Mapa final'!#REF!="Media",'Mapa final'!#REF!="Menor"),CONCATENATE("R7C",'Mapa final'!#REF!),"")</f>
        <v>#REF!</v>
      </c>
      <c r="S32" s="37" t="e">
        <f>IF(AND('Mapa final'!#REF!="Media",'Mapa final'!#REF!="Menor"),CONCATENATE("R7C",'Mapa final'!#REF!),"")</f>
        <v>#REF!</v>
      </c>
      <c r="T32" s="37" t="e">
        <f>IF(AND('Mapa final'!#REF!="Media",'Mapa final'!#REF!="Menor"),CONCATENATE("R7C",'Mapa final'!#REF!),"")</f>
        <v>#REF!</v>
      </c>
      <c r="U32" s="38" t="e">
        <f>IF(AND('Mapa final'!#REF!="Media",'Mapa final'!#REF!="Menor"),CONCATENATE("R7C",'Mapa final'!#REF!),"")</f>
        <v>#REF!</v>
      </c>
      <c r="V32" s="36" t="e">
        <f>IF(AND('Mapa final'!#REF!="Media",'Mapa final'!#REF!="Moderado"),CONCATENATE("R7C",'Mapa final'!#REF!),"")</f>
        <v>#REF!</v>
      </c>
      <c r="W32" s="37" t="e">
        <f>IF(AND('Mapa final'!#REF!="Media",'Mapa final'!#REF!="Moderado"),CONCATENATE("R7C",'Mapa final'!#REF!),"")</f>
        <v>#REF!</v>
      </c>
      <c r="X32" s="37" t="e">
        <f>IF(AND('Mapa final'!#REF!="Media",'Mapa final'!#REF!="Moderado"),CONCATENATE("R7C",'Mapa final'!#REF!),"")</f>
        <v>#REF!</v>
      </c>
      <c r="Y32" s="37" t="e">
        <f>IF(AND('Mapa final'!#REF!="Media",'Mapa final'!#REF!="Moderado"),CONCATENATE("R7C",'Mapa final'!#REF!),"")</f>
        <v>#REF!</v>
      </c>
      <c r="Z32" s="37" t="e">
        <f>IF(AND('Mapa final'!#REF!="Media",'Mapa final'!#REF!="Moderado"),CONCATENATE("R7C",'Mapa final'!#REF!),"")</f>
        <v>#REF!</v>
      </c>
      <c r="AA32" s="38" t="e">
        <f>IF(AND('Mapa final'!#REF!="Media",'Mapa final'!#REF!="Moderado"),CONCATENATE("R7C",'Mapa final'!#REF!),"")</f>
        <v>#REF!</v>
      </c>
      <c r="AB32" s="21" t="e">
        <f>IF(AND('Mapa final'!#REF!="Media",'Mapa final'!#REF!="Mayor"),CONCATENATE("R7C",'Mapa final'!#REF!),"")</f>
        <v>#REF!</v>
      </c>
      <c r="AC32" s="22" t="e">
        <f>IF(AND('Mapa final'!#REF!="Media",'Mapa final'!#REF!="Mayor"),CONCATENATE("R7C",'Mapa final'!#REF!),"")</f>
        <v>#REF!</v>
      </c>
      <c r="AD32" s="22" t="e">
        <f>IF(AND('Mapa final'!#REF!="Media",'Mapa final'!#REF!="Mayor"),CONCATENATE("R7C",'Mapa final'!#REF!),"")</f>
        <v>#REF!</v>
      </c>
      <c r="AE32" s="22" t="e">
        <f>IF(AND('Mapa final'!#REF!="Media",'Mapa final'!#REF!="Mayor"),CONCATENATE("R7C",'Mapa final'!#REF!),"")</f>
        <v>#REF!</v>
      </c>
      <c r="AF32" s="22" t="e">
        <f>IF(AND('Mapa final'!#REF!="Media",'Mapa final'!#REF!="Mayor"),CONCATENATE("R7C",'Mapa final'!#REF!),"")</f>
        <v>#REF!</v>
      </c>
      <c r="AG32" s="23" t="e">
        <f>IF(AND('Mapa final'!#REF!="Media",'Mapa final'!#REF!="Mayor"),CONCATENATE("R7C",'Mapa final'!#REF!),"")</f>
        <v>#REF!</v>
      </c>
      <c r="AH32" s="24" t="e">
        <f>IF(AND('Mapa final'!#REF!="Media",'Mapa final'!#REF!="Catastrófico"),CONCATENATE("R7C",'Mapa final'!#REF!),"")</f>
        <v>#REF!</v>
      </c>
      <c r="AI32" s="25" t="e">
        <f>IF(AND('Mapa final'!#REF!="Media",'Mapa final'!#REF!="Catastrófico"),CONCATENATE("R7C",'Mapa final'!#REF!),"")</f>
        <v>#REF!</v>
      </c>
      <c r="AJ32" s="25" t="e">
        <f>IF(AND('Mapa final'!#REF!="Media",'Mapa final'!#REF!="Catastrófico"),CONCATENATE("R7C",'Mapa final'!#REF!),"")</f>
        <v>#REF!</v>
      </c>
      <c r="AK32" s="25" t="e">
        <f>IF(AND('Mapa final'!#REF!="Media",'Mapa final'!#REF!="Catastrófico"),CONCATENATE("R7C",'Mapa final'!#REF!),"")</f>
        <v>#REF!</v>
      </c>
      <c r="AL32" s="25" t="e">
        <f>IF(AND('Mapa final'!#REF!="Media",'Mapa final'!#REF!="Catastrófico"),CONCATENATE("R7C",'Mapa final'!#REF!),"")</f>
        <v>#REF!</v>
      </c>
      <c r="AM32" s="26" t="e">
        <f>IF(AND('Mapa final'!#REF!="Media",'Mapa final'!#REF!="Catastrófico"),CONCATENATE("R7C",'Mapa final'!#REF!),"")</f>
        <v>#REF!</v>
      </c>
      <c r="AN32" s="1"/>
      <c r="AO32" s="272"/>
      <c r="AP32" s="218"/>
      <c r="AQ32" s="218"/>
      <c r="AR32" s="218"/>
      <c r="AS32" s="218"/>
      <c r="AT32" s="273"/>
    </row>
    <row r="33" spans="2:46" ht="15" customHeight="1" x14ac:dyDescent="0.25">
      <c r="B33" s="263"/>
      <c r="C33" s="218"/>
      <c r="D33" s="219"/>
      <c r="E33" s="230"/>
      <c r="F33" s="218"/>
      <c r="G33" s="218"/>
      <c r="H33" s="218"/>
      <c r="I33" s="219"/>
      <c r="J33" s="36" t="e">
        <f>IF(AND('Mapa final'!#REF!="Media",'Mapa final'!#REF!="Leve"),CONCATENATE("R8C",'Mapa final'!#REF!),"")</f>
        <v>#REF!</v>
      </c>
      <c r="K33" s="37" t="e">
        <f>IF(AND('Mapa final'!#REF!="Media",'Mapa final'!#REF!="Leve"),CONCATENATE("R8C",'Mapa final'!#REF!),"")</f>
        <v>#REF!</v>
      </c>
      <c r="L33" s="37" t="e">
        <f>IF(AND('Mapa final'!#REF!="Media",'Mapa final'!#REF!="Leve"),CONCATENATE("R8C",'Mapa final'!#REF!),"")</f>
        <v>#REF!</v>
      </c>
      <c r="M33" s="37" t="e">
        <f>IF(AND('Mapa final'!#REF!="Media",'Mapa final'!#REF!="Leve"),CONCATENATE("R8C",'Mapa final'!#REF!),"")</f>
        <v>#REF!</v>
      </c>
      <c r="N33" s="37" t="e">
        <f>IF(AND('Mapa final'!#REF!="Media",'Mapa final'!#REF!="Leve"),CONCATENATE("R8C",'Mapa final'!#REF!),"")</f>
        <v>#REF!</v>
      </c>
      <c r="O33" s="38" t="e">
        <f>IF(AND('Mapa final'!#REF!="Media",'Mapa final'!#REF!="Leve"),CONCATENATE("R8C",'Mapa final'!#REF!),"")</f>
        <v>#REF!</v>
      </c>
      <c r="P33" s="36" t="e">
        <f>IF(AND('Mapa final'!#REF!="Media",'Mapa final'!#REF!="Menor"),CONCATENATE("R8C",'Mapa final'!#REF!),"")</f>
        <v>#REF!</v>
      </c>
      <c r="Q33" s="37" t="e">
        <f>IF(AND('Mapa final'!#REF!="Media",'Mapa final'!#REF!="Menor"),CONCATENATE("R8C",'Mapa final'!#REF!),"")</f>
        <v>#REF!</v>
      </c>
      <c r="R33" s="37" t="e">
        <f>IF(AND('Mapa final'!#REF!="Media",'Mapa final'!#REF!="Menor"),CONCATENATE("R8C",'Mapa final'!#REF!),"")</f>
        <v>#REF!</v>
      </c>
      <c r="S33" s="37" t="e">
        <f>IF(AND('Mapa final'!#REF!="Media",'Mapa final'!#REF!="Menor"),CONCATENATE("R8C",'Mapa final'!#REF!),"")</f>
        <v>#REF!</v>
      </c>
      <c r="T33" s="37" t="e">
        <f>IF(AND('Mapa final'!#REF!="Media",'Mapa final'!#REF!="Menor"),CONCATENATE("R8C",'Mapa final'!#REF!),"")</f>
        <v>#REF!</v>
      </c>
      <c r="U33" s="38" t="e">
        <f>IF(AND('Mapa final'!#REF!="Media",'Mapa final'!#REF!="Menor"),CONCATENATE("R8C",'Mapa final'!#REF!),"")</f>
        <v>#REF!</v>
      </c>
      <c r="V33" s="36" t="e">
        <f>IF(AND('Mapa final'!#REF!="Media",'Mapa final'!#REF!="Moderado"),CONCATENATE("R8C",'Mapa final'!#REF!),"")</f>
        <v>#REF!</v>
      </c>
      <c r="W33" s="37" t="e">
        <f>IF(AND('Mapa final'!#REF!="Media",'Mapa final'!#REF!="Moderado"),CONCATENATE("R8C",'Mapa final'!#REF!),"")</f>
        <v>#REF!</v>
      </c>
      <c r="X33" s="37" t="e">
        <f>IF(AND('Mapa final'!#REF!="Media",'Mapa final'!#REF!="Moderado"),CONCATENATE("R8C",'Mapa final'!#REF!),"")</f>
        <v>#REF!</v>
      </c>
      <c r="Y33" s="37" t="e">
        <f>IF(AND('Mapa final'!#REF!="Media",'Mapa final'!#REF!="Moderado"),CONCATENATE("R8C",'Mapa final'!#REF!),"")</f>
        <v>#REF!</v>
      </c>
      <c r="Z33" s="37" t="e">
        <f>IF(AND('Mapa final'!#REF!="Media",'Mapa final'!#REF!="Moderado"),CONCATENATE("R8C",'Mapa final'!#REF!),"")</f>
        <v>#REF!</v>
      </c>
      <c r="AA33" s="38" t="e">
        <f>IF(AND('Mapa final'!#REF!="Media",'Mapa final'!#REF!="Moderado"),CONCATENATE("R8C",'Mapa final'!#REF!),"")</f>
        <v>#REF!</v>
      </c>
      <c r="AB33" s="21" t="e">
        <f>IF(AND('Mapa final'!#REF!="Media",'Mapa final'!#REF!="Mayor"),CONCATENATE("R8C",'Mapa final'!#REF!),"")</f>
        <v>#REF!</v>
      </c>
      <c r="AC33" s="22" t="e">
        <f>IF(AND('Mapa final'!#REF!="Media",'Mapa final'!#REF!="Mayor"),CONCATENATE("R8C",'Mapa final'!#REF!),"")</f>
        <v>#REF!</v>
      </c>
      <c r="AD33" s="22" t="e">
        <f>IF(AND('Mapa final'!#REF!="Media",'Mapa final'!#REF!="Mayor"),CONCATENATE("R8C",'Mapa final'!#REF!),"")</f>
        <v>#REF!</v>
      </c>
      <c r="AE33" s="22" t="e">
        <f>IF(AND('Mapa final'!#REF!="Media",'Mapa final'!#REF!="Mayor"),CONCATENATE("R8C",'Mapa final'!#REF!),"")</f>
        <v>#REF!</v>
      </c>
      <c r="AF33" s="22" t="e">
        <f>IF(AND('Mapa final'!#REF!="Media",'Mapa final'!#REF!="Mayor"),CONCATENATE("R8C",'Mapa final'!#REF!),"")</f>
        <v>#REF!</v>
      </c>
      <c r="AG33" s="23" t="e">
        <f>IF(AND('Mapa final'!#REF!="Media",'Mapa final'!#REF!="Mayor"),CONCATENATE("R8C",'Mapa final'!#REF!),"")</f>
        <v>#REF!</v>
      </c>
      <c r="AH33" s="24" t="e">
        <f>IF(AND('Mapa final'!#REF!="Media",'Mapa final'!#REF!="Catastrófico"),CONCATENATE("R8C",'Mapa final'!#REF!),"")</f>
        <v>#REF!</v>
      </c>
      <c r="AI33" s="25" t="e">
        <f>IF(AND('Mapa final'!#REF!="Media",'Mapa final'!#REF!="Catastrófico"),CONCATENATE("R8C",'Mapa final'!#REF!),"")</f>
        <v>#REF!</v>
      </c>
      <c r="AJ33" s="25" t="e">
        <f>IF(AND('Mapa final'!#REF!="Media",'Mapa final'!#REF!="Catastrófico"),CONCATENATE("R8C",'Mapa final'!#REF!),"")</f>
        <v>#REF!</v>
      </c>
      <c r="AK33" s="25" t="e">
        <f>IF(AND('Mapa final'!#REF!="Media",'Mapa final'!#REF!="Catastrófico"),CONCATENATE("R8C",'Mapa final'!#REF!),"")</f>
        <v>#REF!</v>
      </c>
      <c r="AL33" s="25" t="e">
        <f>IF(AND('Mapa final'!#REF!="Media",'Mapa final'!#REF!="Catastrófico"),CONCATENATE("R8C",'Mapa final'!#REF!),"")</f>
        <v>#REF!</v>
      </c>
      <c r="AM33" s="26" t="e">
        <f>IF(AND('Mapa final'!#REF!="Media",'Mapa final'!#REF!="Catastrófico"),CONCATENATE("R8C",'Mapa final'!#REF!),"")</f>
        <v>#REF!</v>
      </c>
      <c r="AN33" s="1"/>
      <c r="AO33" s="272"/>
      <c r="AP33" s="218"/>
      <c r="AQ33" s="218"/>
      <c r="AR33" s="218"/>
      <c r="AS33" s="218"/>
      <c r="AT33" s="273"/>
    </row>
    <row r="34" spans="2:46" ht="15" customHeight="1" x14ac:dyDescent="0.25">
      <c r="B34" s="263"/>
      <c r="C34" s="218"/>
      <c r="D34" s="219"/>
      <c r="E34" s="230"/>
      <c r="F34" s="218"/>
      <c r="G34" s="218"/>
      <c r="H34" s="218"/>
      <c r="I34" s="219"/>
      <c r="J34" s="36" t="e">
        <f>IF(AND('Mapa final'!#REF!="Media",'Mapa final'!#REF!="Leve"),CONCATENATE("R9C",'Mapa final'!#REF!),"")</f>
        <v>#REF!</v>
      </c>
      <c r="K34" s="37" t="e">
        <f>IF(AND('Mapa final'!#REF!="Media",'Mapa final'!#REF!="Leve"),CONCATENATE("R9C",'Mapa final'!#REF!),"")</f>
        <v>#REF!</v>
      </c>
      <c r="L34" s="37" t="e">
        <f>IF(AND('Mapa final'!#REF!="Media",'Mapa final'!#REF!="Leve"),CONCATENATE("R9C",'Mapa final'!#REF!),"")</f>
        <v>#REF!</v>
      </c>
      <c r="M34" s="37" t="e">
        <f>IF(AND('Mapa final'!#REF!="Media",'Mapa final'!#REF!="Leve"),CONCATENATE("R9C",'Mapa final'!#REF!),"")</f>
        <v>#REF!</v>
      </c>
      <c r="N34" s="37" t="e">
        <f>IF(AND('Mapa final'!#REF!="Media",'Mapa final'!#REF!="Leve"),CONCATENATE("R9C",'Mapa final'!#REF!),"")</f>
        <v>#REF!</v>
      </c>
      <c r="O34" s="38" t="e">
        <f>IF(AND('Mapa final'!#REF!="Media",'Mapa final'!#REF!="Leve"),CONCATENATE("R9C",'Mapa final'!#REF!),"")</f>
        <v>#REF!</v>
      </c>
      <c r="P34" s="36" t="e">
        <f>IF(AND('Mapa final'!#REF!="Media",'Mapa final'!#REF!="Menor"),CONCATENATE("R9C",'Mapa final'!#REF!),"")</f>
        <v>#REF!</v>
      </c>
      <c r="Q34" s="37" t="e">
        <f>IF(AND('Mapa final'!#REF!="Media",'Mapa final'!#REF!="Menor"),CONCATENATE("R9C",'Mapa final'!#REF!),"")</f>
        <v>#REF!</v>
      </c>
      <c r="R34" s="37" t="e">
        <f>IF(AND('Mapa final'!#REF!="Media",'Mapa final'!#REF!="Menor"),CONCATENATE("R9C",'Mapa final'!#REF!),"")</f>
        <v>#REF!</v>
      </c>
      <c r="S34" s="37" t="e">
        <f>IF(AND('Mapa final'!#REF!="Media",'Mapa final'!#REF!="Menor"),CONCATENATE("R9C",'Mapa final'!#REF!),"")</f>
        <v>#REF!</v>
      </c>
      <c r="T34" s="37" t="e">
        <f>IF(AND('Mapa final'!#REF!="Media",'Mapa final'!#REF!="Menor"),CONCATENATE("R9C",'Mapa final'!#REF!),"")</f>
        <v>#REF!</v>
      </c>
      <c r="U34" s="38" t="e">
        <f>IF(AND('Mapa final'!#REF!="Media",'Mapa final'!#REF!="Menor"),CONCATENATE("R9C",'Mapa final'!#REF!),"")</f>
        <v>#REF!</v>
      </c>
      <c r="V34" s="36" t="e">
        <f>IF(AND('Mapa final'!#REF!="Media",'Mapa final'!#REF!="Moderado"),CONCATENATE("R9C",'Mapa final'!#REF!),"")</f>
        <v>#REF!</v>
      </c>
      <c r="W34" s="37" t="e">
        <f>IF(AND('Mapa final'!#REF!="Media",'Mapa final'!#REF!="Moderado"),CONCATENATE("R9C",'Mapa final'!#REF!),"")</f>
        <v>#REF!</v>
      </c>
      <c r="X34" s="37" t="e">
        <f>IF(AND('Mapa final'!#REF!="Media",'Mapa final'!#REF!="Moderado"),CONCATENATE("R9C",'Mapa final'!#REF!),"")</f>
        <v>#REF!</v>
      </c>
      <c r="Y34" s="37" t="e">
        <f>IF(AND('Mapa final'!#REF!="Media",'Mapa final'!#REF!="Moderado"),CONCATENATE("R9C",'Mapa final'!#REF!),"")</f>
        <v>#REF!</v>
      </c>
      <c r="Z34" s="37" t="e">
        <f>IF(AND('Mapa final'!#REF!="Media",'Mapa final'!#REF!="Moderado"),CONCATENATE("R9C",'Mapa final'!#REF!),"")</f>
        <v>#REF!</v>
      </c>
      <c r="AA34" s="38" t="e">
        <f>IF(AND('Mapa final'!#REF!="Media",'Mapa final'!#REF!="Moderado"),CONCATENATE("R9C",'Mapa final'!#REF!),"")</f>
        <v>#REF!</v>
      </c>
      <c r="AB34" s="21" t="e">
        <f>IF(AND('Mapa final'!#REF!="Media",'Mapa final'!#REF!="Mayor"),CONCATENATE("R9C",'Mapa final'!#REF!),"")</f>
        <v>#REF!</v>
      </c>
      <c r="AC34" s="22" t="e">
        <f>IF(AND('Mapa final'!#REF!="Media",'Mapa final'!#REF!="Mayor"),CONCATENATE("R9C",'Mapa final'!#REF!),"")</f>
        <v>#REF!</v>
      </c>
      <c r="AD34" s="22" t="e">
        <f>IF(AND('Mapa final'!#REF!="Media",'Mapa final'!#REF!="Mayor"),CONCATENATE("R9C",'Mapa final'!#REF!),"")</f>
        <v>#REF!</v>
      </c>
      <c r="AE34" s="22" t="e">
        <f>IF(AND('Mapa final'!#REF!="Media",'Mapa final'!#REF!="Mayor"),CONCATENATE("R9C",'Mapa final'!#REF!),"")</f>
        <v>#REF!</v>
      </c>
      <c r="AF34" s="22" t="e">
        <f>IF(AND('Mapa final'!#REF!="Media",'Mapa final'!#REF!="Mayor"),CONCATENATE("R9C",'Mapa final'!#REF!),"")</f>
        <v>#REF!</v>
      </c>
      <c r="AG34" s="23" t="e">
        <f>IF(AND('Mapa final'!#REF!="Media",'Mapa final'!#REF!="Mayor"),CONCATENATE("R9C",'Mapa final'!#REF!),"")</f>
        <v>#REF!</v>
      </c>
      <c r="AH34" s="24" t="e">
        <f>IF(AND('Mapa final'!#REF!="Media",'Mapa final'!#REF!="Catastrófico"),CONCATENATE("R9C",'Mapa final'!#REF!),"")</f>
        <v>#REF!</v>
      </c>
      <c r="AI34" s="25" t="e">
        <f>IF(AND('Mapa final'!#REF!="Media",'Mapa final'!#REF!="Catastrófico"),CONCATENATE("R9C",'Mapa final'!#REF!),"")</f>
        <v>#REF!</v>
      </c>
      <c r="AJ34" s="25" t="e">
        <f>IF(AND('Mapa final'!#REF!="Media",'Mapa final'!#REF!="Catastrófico"),CONCATENATE("R9C",'Mapa final'!#REF!),"")</f>
        <v>#REF!</v>
      </c>
      <c r="AK34" s="25" t="e">
        <f>IF(AND('Mapa final'!#REF!="Media",'Mapa final'!#REF!="Catastrófico"),CONCATENATE("R9C",'Mapa final'!#REF!),"")</f>
        <v>#REF!</v>
      </c>
      <c r="AL34" s="25" t="e">
        <f>IF(AND('Mapa final'!#REF!="Media",'Mapa final'!#REF!="Catastrófico"),CONCATENATE("R9C",'Mapa final'!#REF!),"")</f>
        <v>#REF!</v>
      </c>
      <c r="AM34" s="26" t="e">
        <f>IF(AND('Mapa final'!#REF!="Media",'Mapa final'!#REF!="Catastrófico"),CONCATENATE("R9C",'Mapa final'!#REF!),"")</f>
        <v>#REF!</v>
      </c>
      <c r="AN34" s="1"/>
      <c r="AO34" s="272"/>
      <c r="AP34" s="218"/>
      <c r="AQ34" s="218"/>
      <c r="AR34" s="218"/>
      <c r="AS34" s="218"/>
      <c r="AT34" s="273"/>
    </row>
    <row r="35" spans="2:46" ht="15.75" customHeight="1" x14ac:dyDescent="0.25">
      <c r="B35" s="263"/>
      <c r="C35" s="218"/>
      <c r="D35" s="219"/>
      <c r="E35" s="253"/>
      <c r="F35" s="254"/>
      <c r="G35" s="254"/>
      <c r="H35" s="254"/>
      <c r="I35" s="257"/>
      <c r="J35" s="36" t="e">
        <f>IF(AND('Mapa final'!#REF!="Media",'Mapa final'!#REF!="Leve"),CONCATENATE("R10C",'Mapa final'!#REF!),"")</f>
        <v>#REF!</v>
      </c>
      <c r="K35" s="37" t="e">
        <f>IF(AND('Mapa final'!#REF!="Media",'Mapa final'!#REF!="Leve"),CONCATENATE("R10C",'Mapa final'!#REF!),"")</f>
        <v>#REF!</v>
      </c>
      <c r="L35" s="37" t="e">
        <f>IF(AND('Mapa final'!#REF!="Media",'Mapa final'!#REF!="Leve"),CONCATENATE("R10C",'Mapa final'!#REF!),"")</f>
        <v>#REF!</v>
      </c>
      <c r="M35" s="37" t="e">
        <f>IF(AND('Mapa final'!#REF!="Media",'Mapa final'!#REF!="Leve"),CONCATENATE("R10C",'Mapa final'!#REF!),"")</f>
        <v>#REF!</v>
      </c>
      <c r="N35" s="37" t="e">
        <f>IF(AND('Mapa final'!#REF!="Media",'Mapa final'!#REF!="Leve"),CONCATENATE("R10C",'Mapa final'!#REF!),"")</f>
        <v>#REF!</v>
      </c>
      <c r="O35" s="38" t="e">
        <f>IF(AND('Mapa final'!#REF!="Media",'Mapa final'!#REF!="Leve"),CONCATENATE("R10C",'Mapa final'!#REF!),"")</f>
        <v>#REF!</v>
      </c>
      <c r="P35" s="36" t="e">
        <f>IF(AND('Mapa final'!#REF!="Media",'Mapa final'!#REF!="Menor"),CONCATENATE("R10C",'Mapa final'!#REF!),"")</f>
        <v>#REF!</v>
      </c>
      <c r="Q35" s="37" t="e">
        <f>IF(AND('Mapa final'!#REF!="Media",'Mapa final'!#REF!="Menor"),CONCATENATE("R10C",'Mapa final'!#REF!),"")</f>
        <v>#REF!</v>
      </c>
      <c r="R35" s="37" t="e">
        <f>IF(AND('Mapa final'!#REF!="Media",'Mapa final'!#REF!="Menor"),CONCATENATE("R10C",'Mapa final'!#REF!),"")</f>
        <v>#REF!</v>
      </c>
      <c r="S35" s="37" t="e">
        <f>IF(AND('Mapa final'!#REF!="Media",'Mapa final'!#REF!="Menor"),CONCATENATE("R10C",'Mapa final'!#REF!),"")</f>
        <v>#REF!</v>
      </c>
      <c r="T35" s="37" t="e">
        <f>IF(AND('Mapa final'!#REF!="Media",'Mapa final'!#REF!="Menor"),CONCATENATE("R10C",'Mapa final'!#REF!),"")</f>
        <v>#REF!</v>
      </c>
      <c r="U35" s="38" t="e">
        <f>IF(AND('Mapa final'!#REF!="Media",'Mapa final'!#REF!="Menor"),CONCATENATE("R10C",'Mapa final'!#REF!),"")</f>
        <v>#REF!</v>
      </c>
      <c r="V35" s="36" t="e">
        <f>IF(AND('Mapa final'!#REF!="Media",'Mapa final'!#REF!="Moderado"),CONCATENATE("R10C",'Mapa final'!#REF!),"")</f>
        <v>#REF!</v>
      </c>
      <c r="W35" s="37" t="e">
        <f>IF(AND('Mapa final'!#REF!="Media",'Mapa final'!#REF!="Moderado"),CONCATENATE("R10C",'Mapa final'!#REF!),"")</f>
        <v>#REF!</v>
      </c>
      <c r="X35" s="37" t="e">
        <f>IF(AND('Mapa final'!#REF!="Media",'Mapa final'!#REF!="Moderado"),CONCATENATE("R10C",'Mapa final'!#REF!),"")</f>
        <v>#REF!</v>
      </c>
      <c r="Y35" s="37" t="e">
        <f>IF(AND('Mapa final'!#REF!="Media",'Mapa final'!#REF!="Moderado"),CONCATENATE("R10C",'Mapa final'!#REF!),"")</f>
        <v>#REF!</v>
      </c>
      <c r="Z35" s="37" t="e">
        <f>IF(AND('Mapa final'!#REF!="Media",'Mapa final'!#REF!="Moderado"),CONCATENATE("R10C",'Mapa final'!#REF!),"")</f>
        <v>#REF!</v>
      </c>
      <c r="AA35" s="38" t="e">
        <f>IF(AND('Mapa final'!#REF!="Media",'Mapa final'!#REF!="Moderado"),CONCATENATE("R10C",'Mapa final'!#REF!),"")</f>
        <v>#REF!</v>
      </c>
      <c r="AB35" s="27" t="e">
        <f>IF(AND('Mapa final'!#REF!="Media",'Mapa final'!#REF!="Mayor"),CONCATENATE("R10C",'Mapa final'!#REF!),"")</f>
        <v>#REF!</v>
      </c>
      <c r="AC35" s="28" t="e">
        <f>IF(AND('Mapa final'!#REF!="Media",'Mapa final'!#REF!="Mayor"),CONCATENATE("R10C",'Mapa final'!#REF!),"")</f>
        <v>#REF!</v>
      </c>
      <c r="AD35" s="28" t="e">
        <f>IF(AND('Mapa final'!#REF!="Media",'Mapa final'!#REF!="Mayor"),CONCATENATE("R10C",'Mapa final'!#REF!),"")</f>
        <v>#REF!</v>
      </c>
      <c r="AE35" s="28" t="e">
        <f>IF(AND('Mapa final'!#REF!="Media",'Mapa final'!#REF!="Mayor"),CONCATENATE("R10C",'Mapa final'!#REF!),"")</f>
        <v>#REF!</v>
      </c>
      <c r="AF35" s="28" t="e">
        <f>IF(AND('Mapa final'!#REF!="Media",'Mapa final'!#REF!="Mayor"),CONCATENATE("R10C",'Mapa final'!#REF!),"")</f>
        <v>#REF!</v>
      </c>
      <c r="AG35" s="29" t="e">
        <f>IF(AND('Mapa final'!#REF!="Media",'Mapa final'!#REF!="Mayor"),CONCATENATE("R10C",'Mapa final'!#REF!),"")</f>
        <v>#REF!</v>
      </c>
      <c r="AH35" s="30" t="e">
        <f>IF(AND('Mapa final'!#REF!="Media",'Mapa final'!#REF!="Catastrófico"),CONCATENATE("R10C",'Mapa final'!#REF!),"")</f>
        <v>#REF!</v>
      </c>
      <c r="AI35" s="31" t="e">
        <f>IF(AND('Mapa final'!#REF!="Media",'Mapa final'!#REF!="Catastrófico"),CONCATENATE("R10C",'Mapa final'!#REF!),"")</f>
        <v>#REF!</v>
      </c>
      <c r="AJ35" s="31" t="e">
        <f>IF(AND('Mapa final'!#REF!="Media",'Mapa final'!#REF!="Catastrófico"),CONCATENATE("R10C",'Mapa final'!#REF!),"")</f>
        <v>#REF!</v>
      </c>
      <c r="AK35" s="31" t="e">
        <f>IF(AND('Mapa final'!#REF!="Media",'Mapa final'!#REF!="Catastrófico"),CONCATENATE("R10C",'Mapa final'!#REF!),"")</f>
        <v>#REF!</v>
      </c>
      <c r="AL35" s="31" t="e">
        <f>IF(AND('Mapa final'!#REF!="Media",'Mapa final'!#REF!="Catastrófico"),CONCATENATE("R10C",'Mapa final'!#REF!),"")</f>
        <v>#REF!</v>
      </c>
      <c r="AM35" s="32" t="e">
        <f>IF(AND('Mapa final'!#REF!="Media",'Mapa final'!#REF!="Catastrófico"),CONCATENATE("R10C",'Mapa final'!#REF!),"")</f>
        <v>#REF!</v>
      </c>
      <c r="AN35" s="1"/>
      <c r="AO35" s="274"/>
      <c r="AP35" s="275"/>
      <c r="AQ35" s="275"/>
      <c r="AR35" s="275"/>
      <c r="AS35" s="275"/>
      <c r="AT35" s="276"/>
    </row>
    <row r="36" spans="2:46" ht="15" customHeight="1" x14ac:dyDescent="0.25">
      <c r="B36" s="263"/>
      <c r="C36" s="218"/>
      <c r="D36" s="219"/>
      <c r="E36" s="281" t="s">
        <v>101</v>
      </c>
      <c r="F36" s="252"/>
      <c r="G36" s="252"/>
      <c r="H36" s="252"/>
      <c r="I36" s="252"/>
      <c r="J36" s="42" t="str">
        <f>IF(AND('Mapa final'!$Y$16="Baja",'Mapa final'!$AA$16="Leve"),CONCATENATE("R1C",'Mapa final'!$O$16),"")</f>
        <v/>
      </c>
      <c r="K36" s="43" t="str">
        <f>IF(AND('Mapa final'!$Y$17="Baja",'Mapa final'!$AA$17="Leve"),CONCATENATE("R1C",'Mapa final'!$O$17),"")</f>
        <v/>
      </c>
      <c r="L36" s="43" t="str">
        <f>IF(AND('Mapa final'!$Y$18="Baja",'Mapa final'!$AA$18="Leve"),CONCATENATE("R1C",'Mapa final'!$O$18),"")</f>
        <v/>
      </c>
      <c r="M36" s="43" t="e">
        <f>IF(AND('Mapa final'!#REF!="Baja",'Mapa final'!#REF!="Leve"),CONCATENATE("R1C",'Mapa final'!#REF!),"")</f>
        <v>#REF!</v>
      </c>
      <c r="N36" s="43" t="e">
        <f>IF(AND('Mapa final'!#REF!="Baja",'Mapa final'!#REF!="Leve"),CONCATENATE("R1C",'Mapa final'!#REF!),"")</f>
        <v>#REF!</v>
      </c>
      <c r="O36" s="44" t="e">
        <f>IF(AND('Mapa final'!#REF!="Baja",'Mapa final'!#REF!="Leve"),CONCATENATE("R1C",'Mapa final'!#REF!),"")</f>
        <v>#REF!</v>
      </c>
      <c r="P36" s="33" t="str">
        <f>IF(AND('Mapa final'!$Y$16="Baja",'Mapa final'!$AA$16="Menor"),CONCATENATE("R1C",'Mapa final'!$O$16),"")</f>
        <v/>
      </c>
      <c r="Q36" s="34" t="str">
        <f>IF(AND('Mapa final'!$Y$17="Baja",'Mapa final'!$AA$17="Menor"),CONCATENATE("R1C",'Mapa final'!$O$17),"")</f>
        <v/>
      </c>
      <c r="R36" s="34" t="str">
        <f>IF(AND('Mapa final'!$Y$18="Baja",'Mapa final'!$AA$18="Menor"),CONCATENATE("R1C",'Mapa final'!$O$18),"")</f>
        <v/>
      </c>
      <c r="S36" s="34" t="e">
        <f>IF(AND('Mapa final'!#REF!="Baja",'Mapa final'!#REF!="Menor"),CONCATENATE("R1C",'Mapa final'!#REF!),"")</f>
        <v>#REF!</v>
      </c>
      <c r="T36" s="34" t="e">
        <f>IF(AND('Mapa final'!#REF!="Baja",'Mapa final'!#REF!="Menor"),CONCATENATE("R1C",'Mapa final'!#REF!),"")</f>
        <v>#REF!</v>
      </c>
      <c r="U36" s="35" t="e">
        <f>IF(AND('Mapa final'!#REF!="Baja",'Mapa final'!#REF!="Menor"),CONCATENATE("R1C",'Mapa final'!#REF!),"")</f>
        <v>#REF!</v>
      </c>
      <c r="V36" s="33" t="str">
        <f>IF(AND('Mapa final'!$Y$16="Baja",'Mapa final'!$AA$16="Moderado"),CONCATENATE("R1C",'Mapa final'!$O$16),"")</f>
        <v/>
      </c>
      <c r="W36" s="34" t="str">
        <f>IF(AND('Mapa final'!$Y$17="Baja",'Mapa final'!$AA$17="Moderado"),CONCATENATE("R1C",'Mapa final'!$O$17),"")</f>
        <v/>
      </c>
      <c r="X36" s="34" t="str">
        <f>IF(AND('Mapa final'!$Y$18="Baja",'Mapa final'!$AA$18="Moderado"),CONCATENATE("R1C",'Mapa final'!$O$18),"")</f>
        <v/>
      </c>
      <c r="Y36" s="34" t="e">
        <f>IF(AND('Mapa final'!#REF!="Baja",'Mapa final'!#REF!="Moderado"),CONCATENATE("R1C",'Mapa final'!#REF!),"")</f>
        <v>#REF!</v>
      </c>
      <c r="Z36" s="34" t="e">
        <f>IF(AND('Mapa final'!#REF!="Baja",'Mapa final'!#REF!="Moderado"),CONCATENATE("R1C",'Mapa final'!#REF!),"")</f>
        <v>#REF!</v>
      </c>
      <c r="AA36" s="35" t="e">
        <f>IF(AND('Mapa final'!#REF!="Baja",'Mapa final'!#REF!="Moderado"),CONCATENATE("R1C",'Mapa final'!#REF!),"")</f>
        <v>#REF!</v>
      </c>
      <c r="AB36" s="15" t="str">
        <f>IF(AND('Mapa final'!$Y$16="Baja",'Mapa final'!$AA$16="Mayor"),CONCATENATE("R1C",'Mapa final'!$O$16),"")</f>
        <v/>
      </c>
      <c r="AC36" s="16" t="str">
        <f>IF(AND('Mapa final'!$Y$17="Baja",'Mapa final'!$AA$17="Mayor"),CONCATENATE("R1C",'Mapa final'!$O$17),"")</f>
        <v/>
      </c>
      <c r="AD36" s="16" t="str">
        <f>IF(AND('Mapa final'!$Y$18="Baja",'Mapa final'!$AA$18="Mayor"),CONCATENATE("R1C",'Mapa final'!$O$18),"")</f>
        <v/>
      </c>
      <c r="AE36" s="16" t="e">
        <f>IF(AND('Mapa final'!#REF!="Baja",'Mapa final'!#REF!="Mayor"),CONCATENATE("R1C",'Mapa final'!#REF!),"")</f>
        <v>#REF!</v>
      </c>
      <c r="AF36" s="16" t="e">
        <f>IF(AND('Mapa final'!#REF!="Baja",'Mapa final'!#REF!="Mayor"),CONCATENATE("R1C",'Mapa final'!#REF!),"")</f>
        <v>#REF!</v>
      </c>
      <c r="AG36" s="17" t="e">
        <f>IF(AND('Mapa final'!#REF!="Baja",'Mapa final'!#REF!="Mayor"),CONCATENATE("R1C",'Mapa final'!#REF!),"")</f>
        <v>#REF!</v>
      </c>
      <c r="AH36" s="18" t="str">
        <f>IF(AND('Mapa final'!$Y$16="Baja",'Mapa final'!$AA$16="Catastrófico"),CONCATENATE("R1C",'Mapa final'!$O$16),"")</f>
        <v/>
      </c>
      <c r="AI36" s="19" t="str">
        <f>IF(AND('Mapa final'!$Y$17="Baja",'Mapa final'!$AA$17="Catastrófico"),CONCATENATE("R1C",'Mapa final'!$O$17),"")</f>
        <v/>
      </c>
      <c r="AJ36" s="19" t="str">
        <f>IF(AND('Mapa final'!$Y$18="Baja",'Mapa final'!$AA$18="Catastrófico"),CONCATENATE("R1C",'Mapa final'!$O$18),"")</f>
        <v/>
      </c>
      <c r="AK36" s="19" t="e">
        <f>IF(AND('Mapa final'!#REF!="Baja",'Mapa final'!#REF!="Catastrófico"),CONCATENATE("R1C",'Mapa final'!#REF!),"")</f>
        <v>#REF!</v>
      </c>
      <c r="AL36" s="19" t="e">
        <f>IF(AND('Mapa final'!#REF!="Baja",'Mapa final'!#REF!="Catastrófico"),CONCATENATE("R1C",'Mapa final'!#REF!),"")</f>
        <v>#REF!</v>
      </c>
      <c r="AM36" s="20" t="e">
        <f>IF(AND('Mapa final'!#REF!="Baja",'Mapa final'!#REF!="Catastrófico"),CONCATENATE("R1C",'Mapa final'!#REF!),"")</f>
        <v>#REF!</v>
      </c>
      <c r="AN36" s="1"/>
      <c r="AO36" s="285" t="s">
        <v>102</v>
      </c>
      <c r="AP36" s="270"/>
      <c r="AQ36" s="270"/>
      <c r="AR36" s="270"/>
      <c r="AS36" s="270"/>
      <c r="AT36" s="271"/>
    </row>
    <row r="37" spans="2:46" ht="15" customHeight="1" x14ac:dyDescent="0.25">
      <c r="B37" s="263"/>
      <c r="C37" s="218"/>
      <c r="D37" s="219"/>
      <c r="E37" s="230"/>
      <c r="F37" s="218"/>
      <c r="G37" s="218"/>
      <c r="H37" s="218"/>
      <c r="I37" s="218"/>
      <c r="J37" s="45" t="str">
        <f>IF(AND('Mapa final'!$Y$23="Baja",'Mapa final'!$AA$23="Leve"),CONCATENATE("R2C",'Mapa final'!$O$23),"")</f>
        <v/>
      </c>
      <c r="K37" s="46" t="e">
        <f>IF(AND('Mapa final'!#REF!="Baja",'Mapa final'!#REF!="Leve"),CONCATENATE("R2C",'Mapa final'!#REF!),"")</f>
        <v>#REF!</v>
      </c>
      <c r="L37" s="46" t="e">
        <f>IF(AND('Mapa final'!#REF!="Baja",'Mapa final'!#REF!="Leve"),CONCATENATE("R2C",'Mapa final'!#REF!),"")</f>
        <v>#REF!</v>
      </c>
      <c r="M37" s="46" t="e">
        <f>IF(AND('Mapa final'!#REF!="Baja",'Mapa final'!#REF!="Leve"),CONCATENATE("R2C",'Mapa final'!#REF!),"")</f>
        <v>#REF!</v>
      </c>
      <c r="N37" s="46" t="str">
        <f>IF(AND('Mapa final'!$Y$24="Baja",'Mapa final'!$AA$24="Leve"),CONCATENATE("R2C",'Mapa final'!$O$24),"")</f>
        <v/>
      </c>
      <c r="O37" s="47" t="str">
        <f>IF(AND('Mapa final'!$Y$25="Baja",'Mapa final'!$AA$25="Leve"),CONCATENATE("R2C",'Mapa final'!$O$25),"")</f>
        <v/>
      </c>
      <c r="P37" s="36" t="str">
        <f>IF(AND('Mapa final'!$Y$23="Baja",'Mapa final'!$AA$23="Menor"),CONCATENATE("R2C",'Mapa final'!$O$23),"")</f>
        <v/>
      </c>
      <c r="Q37" s="37" t="e">
        <f>IF(AND('Mapa final'!#REF!="Baja",'Mapa final'!#REF!="Menor"),CONCATENATE("R2C",'Mapa final'!#REF!),"")</f>
        <v>#REF!</v>
      </c>
      <c r="R37" s="37" t="e">
        <f>IF(AND('Mapa final'!#REF!="Baja",'Mapa final'!#REF!="Menor"),CONCATENATE("R2C",'Mapa final'!#REF!),"")</f>
        <v>#REF!</v>
      </c>
      <c r="S37" s="37" t="e">
        <f>IF(AND('Mapa final'!#REF!="Baja",'Mapa final'!#REF!="Menor"),CONCATENATE("R2C",'Mapa final'!#REF!),"")</f>
        <v>#REF!</v>
      </c>
      <c r="T37" s="37" t="str">
        <f>IF(AND('Mapa final'!$Y$24="Baja",'Mapa final'!$AA$24="Menor"),CONCATENATE("R2C",'Mapa final'!$O$24),"")</f>
        <v/>
      </c>
      <c r="U37" s="38" t="str">
        <f>IF(AND('Mapa final'!$Y$25="Baja",'Mapa final'!$AA$25="Menor"),CONCATENATE("R2C",'Mapa final'!$O$25),"")</f>
        <v/>
      </c>
      <c r="V37" s="36" t="str">
        <f>IF(AND('Mapa final'!$Y$23="Baja",'Mapa final'!$AA$23="Moderado"),CONCATENATE("R2C",'Mapa final'!$O$23),"")</f>
        <v/>
      </c>
      <c r="W37" s="37" t="e">
        <f>IF(AND('Mapa final'!#REF!="Baja",'Mapa final'!#REF!="Moderado"),CONCATENATE("R2C",'Mapa final'!#REF!),"")</f>
        <v>#REF!</v>
      </c>
      <c r="X37" s="37" t="e">
        <f>IF(AND('Mapa final'!#REF!="Baja",'Mapa final'!#REF!="Moderado"),CONCATENATE("R2C",'Mapa final'!#REF!),"")</f>
        <v>#REF!</v>
      </c>
      <c r="Y37" s="37" t="e">
        <f>IF(AND('Mapa final'!#REF!="Baja",'Mapa final'!#REF!="Moderado"),CONCATENATE("R2C",'Mapa final'!#REF!),"")</f>
        <v>#REF!</v>
      </c>
      <c r="Z37" s="37" t="str">
        <f>IF(AND('Mapa final'!$Y$24="Baja",'Mapa final'!$AA$24="Moderado"),CONCATENATE("R2C",'Mapa final'!$O$24),"")</f>
        <v/>
      </c>
      <c r="AA37" s="38" t="str">
        <f>IF(AND('Mapa final'!$Y$25="Baja",'Mapa final'!$AA$25="Moderado"),CONCATENATE("R2C",'Mapa final'!$O$25),"")</f>
        <v/>
      </c>
      <c r="AB37" s="21" t="str">
        <f>IF(AND('Mapa final'!$Y$23="Baja",'Mapa final'!$AA$23="Mayor"),CONCATENATE("R2C",'Mapa final'!$O$23),"")</f>
        <v/>
      </c>
      <c r="AC37" s="22" t="e">
        <f>IF(AND('Mapa final'!#REF!="Baja",'Mapa final'!#REF!="Mayor"),CONCATENATE("R2C",'Mapa final'!#REF!),"")</f>
        <v>#REF!</v>
      </c>
      <c r="AD37" s="22" t="e">
        <f>IF(AND('Mapa final'!#REF!="Baja",'Mapa final'!#REF!="Mayor"),CONCATENATE("R2C",'Mapa final'!#REF!),"")</f>
        <v>#REF!</v>
      </c>
      <c r="AE37" s="22" t="e">
        <f>IF(AND('Mapa final'!#REF!="Baja",'Mapa final'!#REF!="Mayor"),CONCATENATE("R2C",'Mapa final'!#REF!),"")</f>
        <v>#REF!</v>
      </c>
      <c r="AF37" s="22" t="str">
        <f>IF(AND('Mapa final'!$Y$24="Baja",'Mapa final'!$AA$24="Mayor"),CONCATENATE("R2C",'Mapa final'!$O$24),"")</f>
        <v/>
      </c>
      <c r="AG37" s="23" t="str">
        <f>IF(AND('Mapa final'!$Y$25="Baja",'Mapa final'!$AA$25="Mayor"),CONCATENATE("R2C",'Mapa final'!$O$25),"")</f>
        <v/>
      </c>
      <c r="AH37" s="24" t="str">
        <f>IF(AND('Mapa final'!$Y$23="Baja",'Mapa final'!$AA$23="Catastrófico"),CONCATENATE("R2C",'Mapa final'!$O$23),"")</f>
        <v/>
      </c>
      <c r="AI37" s="25" t="e">
        <f>IF(AND('Mapa final'!#REF!="Baja",'Mapa final'!#REF!="Catastrófico"),CONCATENATE("R2C",'Mapa final'!#REF!),"")</f>
        <v>#REF!</v>
      </c>
      <c r="AJ37" s="25" t="e">
        <f>IF(AND('Mapa final'!#REF!="Baja",'Mapa final'!#REF!="Catastrófico"),CONCATENATE("R2C",'Mapa final'!#REF!),"")</f>
        <v>#REF!</v>
      </c>
      <c r="AK37" s="25" t="e">
        <f>IF(AND('Mapa final'!#REF!="Baja",'Mapa final'!#REF!="Catastrófico"),CONCATENATE("R2C",'Mapa final'!#REF!),"")</f>
        <v>#REF!</v>
      </c>
      <c r="AL37" s="25" t="str">
        <f>IF(AND('Mapa final'!$Y$24="Baja",'Mapa final'!$AA$24="Catastrófico"),CONCATENATE("R2C",'Mapa final'!$O$24),"")</f>
        <v/>
      </c>
      <c r="AM37" s="26" t="str">
        <f>IF(AND('Mapa final'!$Y$25="Baja",'Mapa final'!$AA$25="Catastrófico"),CONCATENATE("R2C",'Mapa final'!$O$25),"")</f>
        <v/>
      </c>
      <c r="AN37" s="1"/>
      <c r="AO37" s="272"/>
      <c r="AP37" s="218"/>
      <c r="AQ37" s="218"/>
      <c r="AR37" s="218"/>
      <c r="AS37" s="218"/>
      <c r="AT37" s="273"/>
    </row>
    <row r="38" spans="2:46" ht="15" customHeight="1" x14ac:dyDescent="0.25">
      <c r="B38" s="263"/>
      <c r="C38" s="218"/>
      <c r="D38" s="219"/>
      <c r="E38" s="230"/>
      <c r="F38" s="218"/>
      <c r="G38" s="218"/>
      <c r="H38" s="218"/>
      <c r="I38" s="218"/>
      <c r="J38" s="45" t="str">
        <f>IF(AND('Mapa final'!$Y$30="Baja",'Mapa final'!$AA$30="Leve"),CONCATENATE("R3C",'Mapa final'!$O$30),"")</f>
        <v/>
      </c>
      <c r="K38" s="46" t="str">
        <f>IF(AND('Mapa final'!$Y$31="Baja",'Mapa final'!$AA$31="Leve"),CONCATENATE("R3C",'Mapa final'!$O$31),"")</f>
        <v/>
      </c>
      <c r="L38" s="46" t="str">
        <f>IF(AND('Mapa final'!$Y$32="Baja",'Mapa final'!$AA$32="Leve"),CONCATENATE("R3C",'Mapa final'!$O$32),"")</f>
        <v/>
      </c>
      <c r="M38" s="46" t="e">
        <f>IF(AND('Mapa final'!#REF!="Baja",'Mapa final'!#REF!="Leve"),CONCATENATE("R3C",'Mapa final'!#REF!),"")</f>
        <v>#REF!</v>
      </c>
      <c r="N38" s="46" t="e">
        <f>IF(AND('Mapa final'!#REF!="Baja",'Mapa final'!#REF!="Leve"),CONCATENATE("R3C",'Mapa final'!#REF!),"")</f>
        <v>#REF!</v>
      </c>
      <c r="O38" s="47" t="e">
        <f>IF(AND('Mapa final'!#REF!="Baja",'Mapa final'!#REF!="Leve"),CONCATENATE("R3C",'Mapa final'!#REF!),"")</f>
        <v>#REF!</v>
      </c>
      <c r="P38" s="36" t="str">
        <f>IF(AND('Mapa final'!$Y$30="Baja",'Mapa final'!$AA$30="Menor"),CONCATENATE("R3C",'Mapa final'!$O$30),"")</f>
        <v/>
      </c>
      <c r="Q38" s="37" t="str">
        <f>IF(AND('Mapa final'!$Y$31="Baja",'Mapa final'!$AA$31="Menor"),CONCATENATE("R3C",'Mapa final'!$O$31),"")</f>
        <v/>
      </c>
      <c r="R38" s="37" t="str">
        <f>IF(AND('Mapa final'!$Y$32="Baja",'Mapa final'!$AA$32="Menor"),CONCATENATE("R3C",'Mapa final'!$O$32),"")</f>
        <v/>
      </c>
      <c r="S38" s="37" t="e">
        <f>IF(AND('Mapa final'!#REF!="Baja",'Mapa final'!#REF!="Menor"),CONCATENATE("R3C",'Mapa final'!#REF!),"")</f>
        <v>#REF!</v>
      </c>
      <c r="T38" s="37" t="e">
        <f>IF(AND('Mapa final'!#REF!="Baja",'Mapa final'!#REF!="Menor"),CONCATENATE("R3C",'Mapa final'!#REF!),"")</f>
        <v>#REF!</v>
      </c>
      <c r="U38" s="38" t="e">
        <f>IF(AND('Mapa final'!#REF!="Baja",'Mapa final'!#REF!="Menor"),CONCATENATE("R3C",'Mapa final'!#REF!),"")</f>
        <v>#REF!</v>
      </c>
      <c r="V38" s="36" t="str">
        <f>IF(AND('Mapa final'!$Y$30="Baja",'Mapa final'!$AA$30="Moderado"),CONCATENATE("R3C",'Mapa final'!$O$30),"")</f>
        <v/>
      </c>
      <c r="W38" s="37" t="str">
        <f>IF(AND('Mapa final'!$Y$31="Baja",'Mapa final'!$AA$31="Moderado"),CONCATENATE("R3C",'Mapa final'!$O$31),"")</f>
        <v/>
      </c>
      <c r="X38" s="37" t="str">
        <f>IF(AND('Mapa final'!$Y$32="Baja",'Mapa final'!$AA$32="Moderado"),CONCATENATE("R3C",'Mapa final'!$O$32),"")</f>
        <v/>
      </c>
      <c r="Y38" s="37" t="e">
        <f>IF(AND('Mapa final'!#REF!="Baja",'Mapa final'!#REF!="Moderado"),CONCATENATE("R3C",'Mapa final'!#REF!),"")</f>
        <v>#REF!</v>
      </c>
      <c r="Z38" s="37" t="e">
        <f>IF(AND('Mapa final'!#REF!="Baja",'Mapa final'!#REF!="Moderado"),CONCATENATE("R3C",'Mapa final'!#REF!),"")</f>
        <v>#REF!</v>
      </c>
      <c r="AA38" s="38" t="e">
        <f>IF(AND('Mapa final'!#REF!="Baja",'Mapa final'!#REF!="Moderado"),CONCATENATE("R3C",'Mapa final'!#REF!),"")</f>
        <v>#REF!</v>
      </c>
      <c r="AB38" s="21" t="str">
        <f>IF(AND('Mapa final'!$Y$30="Baja",'Mapa final'!$AA$30="Mayor"),CONCATENATE("R3C",'Mapa final'!$O$30),"")</f>
        <v/>
      </c>
      <c r="AC38" s="22" t="str">
        <f>IF(AND('Mapa final'!$Y$31="Baja",'Mapa final'!$AA$31="Mayor"),CONCATENATE("R3C",'Mapa final'!$O$31),"")</f>
        <v/>
      </c>
      <c r="AD38" s="22" t="str">
        <f>IF(AND('Mapa final'!$Y$32="Baja",'Mapa final'!$AA$32="Mayor"),CONCATENATE("R3C",'Mapa final'!$O$32),"")</f>
        <v/>
      </c>
      <c r="AE38" s="22" t="e">
        <f>IF(AND('Mapa final'!#REF!="Baja",'Mapa final'!#REF!="Mayor"),CONCATENATE("R3C",'Mapa final'!#REF!),"")</f>
        <v>#REF!</v>
      </c>
      <c r="AF38" s="22" t="e">
        <f>IF(AND('Mapa final'!#REF!="Baja",'Mapa final'!#REF!="Mayor"),CONCATENATE("R3C",'Mapa final'!#REF!),"")</f>
        <v>#REF!</v>
      </c>
      <c r="AG38" s="23" t="e">
        <f>IF(AND('Mapa final'!#REF!="Baja",'Mapa final'!#REF!="Mayor"),CONCATENATE("R3C",'Mapa final'!#REF!),"")</f>
        <v>#REF!</v>
      </c>
      <c r="AH38" s="24" t="str">
        <f>IF(AND('Mapa final'!$Y$30="Baja",'Mapa final'!$AA$30="Catastrófico"),CONCATENATE("R3C",'Mapa final'!$O$30),"")</f>
        <v/>
      </c>
      <c r="AI38" s="25" t="str">
        <f>IF(AND('Mapa final'!$Y$31="Baja",'Mapa final'!$AA$31="Catastrófico"),CONCATENATE("R3C",'Mapa final'!$O$31),"")</f>
        <v/>
      </c>
      <c r="AJ38" s="25" t="str">
        <f>IF(AND('Mapa final'!$Y$32="Baja",'Mapa final'!$AA$32="Catastrófico"),CONCATENATE("R3C",'Mapa final'!$O$32),"")</f>
        <v/>
      </c>
      <c r="AK38" s="25" t="e">
        <f>IF(AND('Mapa final'!#REF!="Baja",'Mapa final'!#REF!="Catastrófico"),CONCATENATE("R3C",'Mapa final'!#REF!),"")</f>
        <v>#REF!</v>
      </c>
      <c r="AL38" s="25" t="e">
        <f>IF(AND('Mapa final'!#REF!="Baja",'Mapa final'!#REF!="Catastrófico"),CONCATENATE("R3C",'Mapa final'!#REF!),"")</f>
        <v>#REF!</v>
      </c>
      <c r="AM38" s="26" t="e">
        <f>IF(AND('Mapa final'!#REF!="Baja",'Mapa final'!#REF!="Catastrófico"),CONCATENATE("R3C",'Mapa final'!#REF!),"")</f>
        <v>#REF!</v>
      </c>
      <c r="AN38" s="1"/>
      <c r="AO38" s="272"/>
      <c r="AP38" s="218"/>
      <c r="AQ38" s="218"/>
      <c r="AR38" s="218"/>
      <c r="AS38" s="218"/>
      <c r="AT38" s="273"/>
    </row>
    <row r="39" spans="2:46" ht="15" customHeight="1" x14ac:dyDescent="0.25">
      <c r="B39" s="263"/>
      <c r="C39" s="218"/>
      <c r="D39" s="219"/>
      <c r="E39" s="230"/>
      <c r="F39" s="218"/>
      <c r="G39" s="218"/>
      <c r="H39" s="218"/>
      <c r="I39" s="218"/>
      <c r="J39" s="45" t="str">
        <f>IF(AND('Mapa final'!$Y$37="Baja",'Mapa final'!$AA$37="Leve"),CONCATENATE("R4C",'Mapa final'!$O$37),"")</f>
        <v/>
      </c>
      <c r="K39" s="46" t="str">
        <f>IF(AND('Mapa final'!$Y$38="Baja",'Mapa final'!$AA$38="Leve"),CONCATENATE("R4C",'Mapa final'!$O$38),"")</f>
        <v/>
      </c>
      <c r="L39" s="46" t="e">
        <f>IF(AND('Mapa final'!#REF!="Baja",'Mapa final'!#REF!="Leve"),CONCATENATE("R4C",'Mapa final'!#REF!),"")</f>
        <v>#REF!</v>
      </c>
      <c r="M39" s="46" t="str">
        <f>IF(AND('Mapa final'!$Y$39="Baja",'Mapa final'!$AA$39="Leve"),CONCATENATE("R4C",'Mapa final'!$O$39),"")</f>
        <v/>
      </c>
      <c r="N39" s="46" t="e">
        <f>IF(AND('Mapa final'!#REF!="Baja",'Mapa final'!#REF!="Leve"),CONCATENATE("R4C",'Mapa final'!#REF!),"")</f>
        <v>#REF!</v>
      </c>
      <c r="O39" s="47" t="e">
        <f>IF(AND('Mapa final'!#REF!="Baja",'Mapa final'!#REF!="Leve"),CONCATENATE("R4C",'Mapa final'!#REF!),"")</f>
        <v>#REF!</v>
      </c>
      <c r="P39" s="36" t="str">
        <f>IF(AND('Mapa final'!$Y$37="Baja",'Mapa final'!$AA$37="Menor"),CONCATENATE("R4C",'Mapa final'!$O$37),"")</f>
        <v/>
      </c>
      <c r="Q39" s="37" t="str">
        <f>IF(AND('Mapa final'!$Y$38="Baja",'Mapa final'!$AA$38="Menor"),CONCATENATE("R4C",'Mapa final'!$O$38),"")</f>
        <v/>
      </c>
      <c r="R39" s="37" t="e">
        <f>IF(AND('Mapa final'!#REF!="Baja",'Mapa final'!#REF!="Menor"),CONCATENATE("R4C",'Mapa final'!#REF!),"")</f>
        <v>#REF!</v>
      </c>
      <c r="S39" s="37" t="str">
        <f>IF(AND('Mapa final'!$Y$39="Baja",'Mapa final'!$AA$39="Menor"),CONCATENATE("R4C",'Mapa final'!$O$39),"")</f>
        <v/>
      </c>
      <c r="T39" s="37" t="e">
        <f>IF(AND('Mapa final'!#REF!="Baja",'Mapa final'!#REF!="Menor"),CONCATENATE("R4C",'Mapa final'!#REF!),"")</f>
        <v>#REF!</v>
      </c>
      <c r="U39" s="38" t="e">
        <f>IF(AND('Mapa final'!#REF!="Baja",'Mapa final'!#REF!="Menor"),CONCATENATE("R4C",'Mapa final'!#REF!),"")</f>
        <v>#REF!</v>
      </c>
      <c r="V39" s="36" t="str">
        <f>IF(AND('Mapa final'!$Y$37="Baja",'Mapa final'!$AA$37="Moderado"),CONCATENATE("R4C",'Mapa final'!$O$37),"")</f>
        <v/>
      </c>
      <c r="W39" s="37" t="str">
        <f>IF(AND('Mapa final'!$Y$38="Baja",'Mapa final'!$AA$38="Moderado"),CONCATENATE("R4C",'Mapa final'!$O$38),"")</f>
        <v/>
      </c>
      <c r="X39" s="37" t="e">
        <f>IF(AND('Mapa final'!#REF!="Baja",'Mapa final'!#REF!="Moderado"),CONCATENATE("R4C",'Mapa final'!#REF!),"")</f>
        <v>#REF!</v>
      </c>
      <c r="Y39" s="37" t="str">
        <f>IF(AND('Mapa final'!$Y$39="Baja",'Mapa final'!$AA$39="Moderado"),CONCATENATE("R4C",'Mapa final'!$O$39),"")</f>
        <v/>
      </c>
      <c r="Z39" s="37" t="e">
        <f>IF(AND('Mapa final'!#REF!="Baja",'Mapa final'!#REF!="Moderado"),CONCATENATE("R4C",'Mapa final'!#REF!),"")</f>
        <v>#REF!</v>
      </c>
      <c r="AA39" s="38" t="e">
        <f>IF(AND('Mapa final'!#REF!="Baja",'Mapa final'!#REF!="Moderado"),CONCATENATE("R4C",'Mapa final'!#REF!),"")</f>
        <v>#REF!</v>
      </c>
      <c r="AB39" s="21" t="str">
        <f>IF(AND('Mapa final'!$Y$37="Baja",'Mapa final'!$AA$37="Mayor"),CONCATENATE("R4C",'Mapa final'!$O$37),"")</f>
        <v/>
      </c>
      <c r="AC39" s="22" t="str">
        <f>IF(AND('Mapa final'!$Y$38="Baja",'Mapa final'!$AA$38="Mayor"),CONCATENATE("R4C",'Mapa final'!$O$38),"")</f>
        <v/>
      </c>
      <c r="AD39" s="22" t="e">
        <f>IF(AND('Mapa final'!#REF!="Baja",'Mapa final'!#REF!="Mayor"),CONCATENATE("R4C",'Mapa final'!#REF!),"")</f>
        <v>#REF!</v>
      </c>
      <c r="AE39" s="22" t="str">
        <f>IF(AND('Mapa final'!$Y$39="Baja",'Mapa final'!$AA$39="Mayor"),CONCATENATE("R4C",'Mapa final'!$O$39),"")</f>
        <v/>
      </c>
      <c r="AF39" s="22" t="e">
        <f>IF(AND('Mapa final'!#REF!="Baja",'Mapa final'!#REF!="Mayor"),CONCATENATE("R4C",'Mapa final'!#REF!),"")</f>
        <v>#REF!</v>
      </c>
      <c r="AG39" s="23" t="e">
        <f>IF(AND('Mapa final'!#REF!="Baja",'Mapa final'!#REF!="Mayor"),CONCATENATE("R4C",'Mapa final'!#REF!),"")</f>
        <v>#REF!</v>
      </c>
      <c r="AH39" s="24" t="str">
        <f>IF(AND('Mapa final'!$Y$37="Baja",'Mapa final'!$AA$37="Catastrófico"),CONCATENATE("R4C",'Mapa final'!$O$37),"")</f>
        <v/>
      </c>
      <c r="AI39" s="25" t="str">
        <f>IF(AND('Mapa final'!$Y$38="Baja",'Mapa final'!$AA$38="Catastrófico"),CONCATENATE("R4C",'Mapa final'!$O$38),"")</f>
        <v/>
      </c>
      <c r="AJ39" s="25" t="e">
        <f>IF(AND('Mapa final'!#REF!="Baja",'Mapa final'!#REF!="Catastrófico"),CONCATENATE("R4C",'Mapa final'!#REF!),"")</f>
        <v>#REF!</v>
      </c>
      <c r="AK39" s="25" t="str">
        <f>IF(AND('Mapa final'!$Y$39="Baja",'Mapa final'!$AA$39="Catastrófico"),CONCATENATE("R4C",'Mapa final'!$O$39),"")</f>
        <v/>
      </c>
      <c r="AL39" s="25" t="e">
        <f>IF(AND('Mapa final'!#REF!="Baja",'Mapa final'!#REF!="Catastrófico"),CONCATENATE("R4C",'Mapa final'!#REF!),"")</f>
        <v>#REF!</v>
      </c>
      <c r="AM39" s="26" t="e">
        <f>IF(AND('Mapa final'!#REF!="Baja",'Mapa final'!#REF!="Catastrófico"),CONCATENATE("R4C",'Mapa final'!#REF!),"")</f>
        <v>#REF!</v>
      </c>
      <c r="AN39" s="1"/>
      <c r="AO39" s="272"/>
      <c r="AP39" s="218"/>
      <c r="AQ39" s="218"/>
      <c r="AR39" s="218"/>
      <c r="AS39" s="218"/>
      <c r="AT39" s="273"/>
    </row>
    <row r="40" spans="2:46" ht="15" customHeight="1" x14ac:dyDescent="0.25">
      <c r="B40" s="263"/>
      <c r="C40" s="218"/>
      <c r="D40" s="219"/>
      <c r="E40" s="230"/>
      <c r="F40" s="218"/>
      <c r="G40" s="218"/>
      <c r="H40" s="218"/>
      <c r="I40" s="218"/>
      <c r="J40" s="45" t="str">
        <f>IF(AND('Mapa final'!$Y$44="Baja",'Mapa final'!$AA$44="Leve"),CONCATENATE("R5C",'Mapa final'!$O$44),"")</f>
        <v/>
      </c>
      <c r="K40" s="46" t="str">
        <f>IF(AND('Mapa final'!$Y$45="Baja",'Mapa final'!$AA$45="Leve"),CONCATENATE("R5C",'Mapa final'!$O$45),"")</f>
        <v/>
      </c>
      <c r="L40" s="46" t="str">
        <f>IF(AND('Mapa final'!$Y$46="Baja",'Mapa final'!$AA$46="Leve"),CONCATENATE("R5C",'Mapa final'!$O$46),"")</f>
        <v/>
      </c>
      <c r="M40" s="46" t="e">
        <f>IF(AND('Mapa final'!#REF!="Baja",'Mapa final'!#REF!="Leve"),CONCATENATE("R5C",'Mapa final'!#REF!),"")</f>
        <v>#REF!</v>
      </c>
      <c r="N40" s="46" t="e">
        <f>IF(AND('Mapa final'!#REF!="Baja",'Mapa final'!#REF!="Leve"),CONCATENATE("R5C",'Mapa final'!#REF!),"")</f>
        <v>#REF!</v>
      </c>
      <c r="O40" s="47" t="e">
        <f>IF(AND('Mapa final'!#REF!="Baja",'Mapa final'!#REF!="Leve"),CONCATENATE("R5C",'Mapa final'!#REF!),"")</f>
        <v>#REF!</v>
      </c>
      <c r="P40" s="36" t="str">
        <f>IF(AND('Mapa final'!$Y$44="Baja",'Mapa final'!$AA$44="Menor"),CONCATENATE("R5C",'Mapa final'!$O$44),"")</f>
        <v>R5C1</v>
      </c>
      <c r="Q40" s="37" t="str">
        <f>IF(AND('Mapa final'!$Y$45="Baja",'Mapa final'!$AA$45="Menor"),CONCATENATE("R5C",'Mapa final'!$O$45),"")</f>
        <v/>
      </c>
      <c r="R40" s="37" t="str">
        <f>IF(AND('Mapa final'!$Y$46="Baja",'Mapa final'!$AA$46="Menor"),CONCATENATE("R5C",'Mapa final'!$O$46),"")</f>
        <v/>
      </c>
      <c r="S40" s="37" t="e">
        <f>IF(AND('Mapa final'!#REF!="Baja",'Mapa final'!#REF!="Menor"),CONCATENATE("R5C",'Mapa final'!#REF!),"")</f>
        <v>#REF!</v>
      </c>
      <c r="T40" s="37" t="e">
        <f>IF(AND('Mapa final'!#REF!="Baja",'Mapa final'!#REF!="Menor"),CONCATENATE("R5C",'Mapa final'!#REF!),"")</f>
        <v>#REF!</v>
      </c>
      <c r="U40" s="38" t="e">
        <f>IF(AND('Mapa final'!#REF!="Baja",'Mapa final'!#REF!="Menor"),CONCATENATE("R5C",'Mapa final'!#REF!),"")</f>
        <v>#REF!</v>
      </c>
      <c r="V40" s="36" t="str">
        <f>IF(AND('Mapa final'!$Y$44="Baja",'Mapa final'!$AA$44="Moderado"),CONCATENATE("R5C",'Mapa final'!$O$44),"")</f>
        <v/>
      </c>
      <c r="W40" s="37" t="str">
        <f>IF(AND('Mapa final'!$Y$45="Baja",'Mapa final'!$AA$45="Moderado"),CONCATENATE("R5C",'Mapa final'!$O$45),"")</f>
        <v/>
      </c>
      <c r="X40" s="37" t="str">
        <f>IF(AND('Mapa final'!$Y$46="Baja",'Mapa final'!$AA$46="Moderado"),CONCATENATE("R5C",'Mapa final'!$O$46),"")</f>
        <v/>
      </c>
      <c r="Y40" s="37" t="e">
        <f>IF(AND('Mapa final'!#REF!="Baja",'Mapa final'!#REF!="Moderado"),CONCATENATE("R5C",'Mapa final'!#REF!),"")</f>
        <v>#REF!</v>
      </c>
      <c r="Z40" s="37" t="e">
        <f>IF(AND('Mapa final'!#REF!="Baja",'Mapa final'!#REF!="Moderado"),CONCATENATE("R5C",'Mapa final'!#REF!),"")</f>
        <v>#REF!</v>
      </c>
      <c r="AA40" s="38" t="e">
        <f>IF(AND('Mapa final'!#REF!="Baja",'Mapa final'!#REF!="Moderado"),CONCATENATE("R5C",'Mapa final'!#REF!),"")</f>
        <v>#REF!</v>
      </c>
      <c r="AB40" s="21" t="str">
        <f>IF(AND('Mapa final'!$Y$44="Baja",'Mapa final'!$AA$44="Mayor"),CONCATENATE("R5C",'Mapa final'!$O$44),"")</f>
        <v/>
      </c>
      <c r="AC40" s="22" t="str">
        <f>IF(AND('Mapa final'!$Y$45="Baja",'Mapa final'!$AA$45="Mayor"),CONCATENATE("R5C",'Mapa final'!$O$45),"")</f>
        <v/>
      </c>
      <c r="AD40" s="22" t="str">
        <f>IF(AND('Mapa final'!$Y$46="Baja",'Mapa final'!$AA$46="Mayor"),CONCATENATE("R5C",'Mapa final'!$O$46),"")</f>
        <v/>
      </c>
      <c r="AE40" s="22" t="e">
        <f>IF(AND('Mapa final'!#REF!="Baja",'Mapa final'!#REF!="Mayor"),CONCATENATE("R5C",'Mapa final'!#REF!),"")</f>
        <v>#REF!</v>
      </c>
      <c r="AF40" s="22" t="e">
        <f>IF(AND('Mapa final'!#REF!="Baja",'Mapa final'!#REF!="Mayor"),CONCATENATE("R5C",'Mapa final'!#REF!),"")</f>
        <v>#REF!</v>
      </c>
      <c r="AG40" s="23" t="e">
        <f>IF(AND('Mapa final'!#REF!="Baja",'Mapa final'!#REF!="Mayor"),CONCATENATE("R5C",'Mapa final'!#REF!),"")</f>
        <v>#REF!</v>
      </c>
      <c r="AH40" s="24" t="str">
        <f>IF(AND('Mapa final'!$Y$44="Baja",'Mapa final'!$AA$44="Catastrófico"),CONCATENATE("R5C",'Mapa final'!$O$44),"")</f>
        <v/>
      </c>
      <c r="AI40" s="25" t="str">
        <f>IF(AND('Mapa final'!$Y$45="Baja",'Mapa final'!$AA$45="Catastrófico"),CONCATENATE("R5C",'Mapa final'!$O$45),"")</f>
        <v/>
      </c>
      <c r="AJ40" s="25" t="str">
        <f>IF(AND('Mapa final'!$Y$46="Baja",'Mapa final'!$AA$46="Catastrófico"),CONCATENATE("R5C",'Mapa final'!$O$46),"")</f>
        <v/>
      </c>
      <c r="AK40" s="25" t="e">
        <f>IF(AND('Mapa final'!#REF!="Baja",'Mapa final'!#REF!="Catastrófico"),CONCATENATE("R5C",'Mapa final'!#REF!),"")</f>
        <v>#REF!</v>
      </c>
      <c r="AL40" s="25" t="e">
        <f>IF(AND('Mapa final'!#REF!="Baja",'Mapa final'!#REF!="Catastrófico"),CONCATENATE("R5C",'Mapa final'!#REF!),"")</f>
        <v>#REF!</v>
      </c>
      <c r="AM40" s="26" t="e">
        <f>IF(AND('Mapa final'!#REF!="Baja",'Mapa final'!#REF!="Catastrófico"),CONCATENATE("R5C",'Mapa final'!#REF!),"")</f>
        <v>#REF!</v>
      </c>
      <c r="AN40" s="1"/>
      <c r="AO40" s="272"/>
      <c r="AP40" s="218"/>
      <c r="AQ40" s="218"/>
      <c r="AR40" s="218"/>
      <c r="AS40" s="218"/>
      <c r="AT40" s="273"/>
    </row>
    <row r="41" spans="2:46" ht="15" customHeight="1" x14ac:dyDescent="0.25">
      <c r="B41" s="263"/>
      <c r="C41" s="218"/>
      <c r="D41" s="219"/>
      <c r="E41" s="230"/>
      <c r="F41" s="218"/>
      <c r="G41" s="218"/>
      <c r="H41" s="218"/>
      <c r="I41" s="218"/>
      <c r="J41" s="45" t="str">
        <f>IF(AND('Mapa final'!$Y$51="Baja",'Mapa final'!$AA$51="Leve"),CONCATENATE("R6C",'Mapa final'!$O$51),"")</f>
        <v/>
      </c>
      <c r="K41" s="46" t="str">
        <f>IF(AND('Mapa final'!$Y$52="Baja",'Mapa final'!$AA$52="Leve"),CONCATENATE("R6C",'Mapa final'!$O$52),"")</f>
        <v/>
      </c>
      <c r="L41" s="46" t="str">
        <f>IF(AND('Mapa final'!$Y$53="Baja",'Mapa final'!$AA$53="Leve"),CONCATENATE("R6C",'Mapa final'!$O$53),"")</f>
        <v/>
      </c>
      <c r="M41" s="46" t="e">
        <f>IF(AND('Mapa final'!#REF!="Baja",'Mapa final'!#REF!="Leve"),CONCATENATE("R6C",'Mapa final'!#REF!),"")</f>
        <v>#REF!</v>
      </c>
      <c r="N41" s="46" t="e">
        <f>IF(AND('Mapa final'!#REF!="Baja",'Mapa final'!#REF!="Leve"),CONCATENATE("R6C",'Mapa final'!#REF!),"")</f>
        <v>#REF!</v>
      </c>
      <c r="O41" s="47" t="e">
        <f>IF(AND('Mapa final'!#REF!="Baja",'Mapa final'!#REF!="Leve"),CONCATENATE("R6C",'Mapa final'!#REF!),"")</f>
        <v>#REF!</v>
      </c>
      <c r="P41" s="36" t="str">
        <f>IF(AND('Mapa final'!$Y$51="Baja",'Mapa final'!$AA$51="Menor"),CONCATENATE("R6C",'Mapa final'!$O$51),"")</f>
        <v/>
      </c>
      <c r="Q41" s="37" t="str">
        <f>IF(AND('Mapa final'!$Y$52="Baja",'Mapa final'!$AA$52="Menor"),CONCATENATE("R6C",'Mapa final'!$O$52),"")</f>
        <v/>
      </c>
      <c r="R41" s="37" t="str">
        <f>IF(AND('Mapa final'!$Y$53="Baja",'Mapa final'!$AA$53="Menor"),CONCATENATE("R6C",'Mapa final'!$O$53),"")</f>
        <v/>
      </c>
      <c r="S41" s="37" t="e">
        <f>IF(AND('Mapa final'!#REF!="Baja",'Mapa final'!#REF!="Menor"),CONCATENATE("R6C",'Mapa final'!#REF!),"")</f>
        <v>#REF!</v>
      </c>
      <c r="T41" s="37" t="e">
        <f>IF(AND('Mapa final'!#REF!="Baja",'Mapa final'!#REF!="Menor"),CONCATENATE("R6C",'Mapa final'!#REF!),"")</f>
        <v>#REF!</v>
      </c>
      <c r="U41" s="38" t="e">
        <f>IF(AND('Mapa final'!#REF!="Baja",'Mapa final'!#REF!="Menor"),CONCATENATE("R6C",'Mapa final'!#REF!),"")</f>
        <v>#REF!</v>
      </c>
      <c r="V41" s="36" t="str">
        <f>IF(AND('Mapa final'!$Y$51="Baja",'Mapa final'!$AA$51="Moderado"),CONCATENATE("R6C",'Mapa final'!$O$51),"")</f>
        <v/>
      </c>
      <c r="W41" s="37" t="str">
        <f>IF(AND('Mapa final'!$Y$52="Baja",'Mapa final'!$AA$52="Moderado"),CONCATENATE("R6C",'Mapa final'!$O$52),"")</f>
        <v/>
      </c>
      <c r="X41" s="37" t="str">
        <f>IF(AND('Mapa final'!$Y$53="Baja",'Mapa final'!$AA$53="Moderado"),CONCATENATE("R6C",'Mapa final'!$O$53),"")</f>
        <v/>
      </c>
      <c r="Y41" s="37" t="e">
        <f>IF(AND('Mapa final'!#REF!="Baja",'Mapa final'!#REF!="Moderado"),CONCATENATE("R6C",'Mapa final'!#REF!),"")</f>
        <v>#REF!</v>
      </c>
      <c r="Z41" s="37" t="e">
        <f>IF(AND('Mapa final'!#REF!="Baja",'Mapa final'!#REF!="Moderado"),CONCATENATE("R6C",'Mapa final'!#REF!),"")</f>
        <v>#REF!</v>
      </c>
      <c r="AA41" s="38" t="e">
        <f>IF(AND('Mapa final'!#REF!="Baja",'Mapa final'!#REF!="Moderado"),CONCATENATE("R6C",'Mapa final'!#REF!),"")</f>
        <v>#REF!</v>
      </c>
      <c r="AB41" s="21" t="str">
        <f>IF(AND('Mapa final'!$Y$51="Baja",'Mapa final'!$AA$51="Mayor"),CONCATENATE("R6C",'Mapa final'!$O$51),"")</f>
        <v/>
      </c>
      <c r="AC41" s="22" t="str">
        <f>IF(AND('Mapa final'!$Y$52="Baja",'Mapa final'!$AA$52="Mayor"),CONCATENATE("R6C",'Mapa final'!$O$52),"")</f>
        <v/>
      </c>
      <c r="AD41" s="22" t="str">
        <f>IF(AND('Mapa final'!$Y$53="Baja",'Mapa final'!$AA$53="Mayor"),CONCATENATE("R6C",'Mapa final'!$O$53),"")</f>
        <v/>
      </c>
      <c r="AE41" s="22" t="e">
        <f>IF(AND('Mapa final'!#REF!="Baja",'Mapa final'!#REF!="Mayor"),CONCATENATE("R6C",'Mapa final'!#REF!),"")</f>
        <v>#REF!</v>
      </c>
      <c r="AF41" s="22" t="e">
        <f>IF(AND('Mapa final'!#REF!="Baja",'Mapa final'!#REF!="Mayor"),CONCATENATE("R6C",'Mapa final'!#REF!),"")</f>
        <v>#REF!</v>
      </c>
      <c r="AG41" s="23" t="e">
        <f>IF(AND('Mapa final'!#REF!="Baja",'Mapa final'!#REF!="Mayor"),CONCATENATE("R6C",'Mapa final'!#REF!),"")</f>
        <v>#REF!</v>
      </c>
      <c r="AH41" s="24" t="str">
        <f>IF(AND('Mapa final'!$Y$51="Baja",'Mapa final'!$AA$51="Catastrófico"),CONCATENATE("R6C",'Mapa final'!$O$51),"")</f>
        <v/>
      </c>
      <c r="AI41" s="25" t="str">
        <f>IF(AND('Mapa final'!$Y$52="Baja",'Mapa final'!$AA$52="Catastrófico"),CONCATENATE("R6C",'Mapa final'!$O$52),"")</f>
        <v/>
      </c>
      <c r="AJ41" s="25" t="str">
        <f>IF(AND('Mapa final'!$Y$53="Baja",'Mapa final'!$AA$53="Catastrófico"),CONCATENATE("R6C",'Mapa final'!$O$53),"")</f>
        <v/>
      </c>
      <c r="AK41" s="25" t="e">
        <f>IF(AND('Mapa final'!#REF!="Baja",'Mapa final'!#REF!="Catastrófico"),CONCATENATE("R6C",'Mapa final'!#REF!),"")</f>
        <v>#REF!</v>
      </c>
      <c r="AL41" s="25" t="e">
        <f>IF(AND('Mapa final'!#REF!="Baja",'Mapa final'!#REF!="Catastrófico"),CONCATENATE("R6C",'Mapa final'!#REF!),"")</f>
        <v>#REF!</v>
      </c>
      <c r="AM41" s="26" t="e">
        <f>IF(AND('Mapa final'!#REF!="Baja",'Mapa final'!#REF!="Catastrófico"),CONCATENATE("R6C",'Mapa final'!#REF!),"")</f>
        <v>#REF!</v>
      </c>
      <c r="AN41" s="1"/>
      <c r="AO41" s="272"/>
      <c r="AP41" s="218"/>
      <c r="AQ41" s="218"/>
      <c r="AR41" s="218"/>
      <c r="AS41" s="218"/>
      <c r="AT41" s="273"/>
    </row>
    <row r="42" spans="2:46" ht="15" customHeight="1" x14ac:dyDescent="0.25">
      <c r="B42" s="263"/>
      <c r="C42" s="218"/>
      <c r="D42" s="219"/>
      <c r="E42" s="230"/>
      <c r="F42" s="218"/>
      <c r="G42" s="218"/>
      <c r="H42" s="218"/>
      <c r="I42" s="218"/>
      <c r="J42" s="45" t="e">
        <f>IF(AND('Mapa final'!#REF!="Baja",'Mapa final'!#REF!="Leve"),CONCATENATE("R7C",'Mapa final'!#REF!),"")</f>
        <v>#REF!</v>
      </c>
      <c r="K42" s="46" t="e">
        <f>IF(AND('Mapa final'!#REF!="Baja",'Mapa final'!#REF!="Leve"),CONCATENATE("R7C",'Mapa final'!#REF!),"")</f>
        <v>#REF!</v>
      </c>
      <c r="L42" s="46" t="e">
        <f>IF(AND('Mapa final'!#REF!="Baja",'Mapa final'!#REF!="Leve"),CONCATENATE("R7C",'Mapa final'!#REF!),"")</f>
        <v>#REF!</v>
      </c>
      <c r="M42" s="46" t="e">
        <f>IF(AND('Mapa final'!#REF!="Baja",'Mapa final'!#REF!="Leve"),CONCATENATE("R7C",'Mapa final'!#REF!),"")</f>
        <v>#REF!</v>
      </c>
      <c r="N42" s="46" t="e">
        <f>IF(AND('Mapa final'!#REF!="Baja",'Mapa final'!#REF!="Leve"),CONCATENATE("R7C",'Mapa final'!#REF!),"")</f>
        <v>#REF!</v>
      </c>
      <c r="O42" s="47" t="e">
        <f>IF(AND('Mapa final'!#REF!="Baja",'Mapa final'!#REF!="Leve"),CONCATENATE("R7C",'Mapa final'!#REF!),"")</f>
        <v>#REF!</v>
      </c>
      <c r="P42" s="36" t="e">
        <f>IF(AND('Mapa final'!#REF!="Baja",'Mapa final'!#REF!="Menor"),CONCATENATE("R7C",'Mapa final'!#REF!),"")</f>
        <v>#REF!</v>
      </c>
      <c r="Q42" s="37" t="e">
        <f>IF(AND('Mapa final'!#REF!="Baja",'Mapa final'!#REF!="Menor"),CONCATENATE("R7C",'Mapa final'!#REF!),"")</f>
        <v>#REF!</v>
      </c>
      <c r="R42" s="37" t="e">
        <f>IF(AND('Mapa final'!#REF!="Baja",'Mapa final'!#REF!="Menor"),CONCATENATE("R7C",'Mapa final'!#REF!),"")</f>
        <v>#REF!</v>
      </c>
      <c r="S42" s="37" t="e">
        <f>IF(AND('Mapa final'!#REF!="Baja",'Mapa final'!#REF!="Menor"),CONCATENATE("R7C",'Mapa final'!#REF!),"")</f>
        <v>#REF!</v>
      </c>
      <c r="T42" s="37" t="e">
        <f>IF(AND('Mapa final'!#REF!="Baja",'Mapa final'!#REF!="Menor"),CONCATENATE("R7C",'Mapa final'!#REF!),"")</f>
        <v>#REF!</v>
      </c>
      <c r="U42" s="38" t="e">
        <f>IF(AND('Mapa final'!#REF!="Baja",'Mapa final'!#REF!="Menor"),CONCATENATE("R7C",'Mapa final'!#REF!),"")</f>
        <v>#REF!</v>
      </c>
      <c r="V42" s="36" t="e">
        <f>IF(AND('Mapa final'!#REF!="Baja",'Mapa final'!#REF!="Moderado"),CONCATENATE("R7C",'Mapa final'!#REF!),"")</f>
        <v>#REF!</v>
      </c>
      <c r="W42" s="37" t="e">
        <f>IF(AND('Mapa final'!#REF!="Baja",'Mapa final'!#REF!="Moderado"),CONCATENATE("R7C",'Mapa final'!#REF!),"")</f>
        <v>#REF!</v>
      </c>
      <c r="X42" s="37" t="e">
        <f>IF(AND('Mapa final'!#REF!="Baja",'Mapa final'!#REF!="Moderado"),CONCATENATE("R7C",'Mapa final'!#REF!),"")</f>
        <v>#REF!</v>
      </c>
      <c r="Y42" s="37" t="e">
        <f>IF(AND('Mapa final'!#REF!="Baja",'Mapa final'!#REF!="Moderado"),CONCATENATE("R7C",'Mapa final'!#REF!),"")</f>
        <v>#REF!</v>
      </c>
      <c r="Z42" s="37" t="e">
        <f>IF(AND('Mapa final'!#REF!="Baja",'Mapa final'!#REF!="Moderado"),CONCATENATE("R7C",'Mapa final'!#REF!),"")</f>
        <v>#REF!</v>
      </c>
      <c r="AA42" s="38" t="e">
        <f>IF(AND('Mapa final'!#REF!="Baja",'Mapa final'!#REF!="Moderado"),CONCATENATE("R7C",'Mapa final'!#REF!),"")</f>
        <v>#REF!</v>
      </c>
      <c r="AB42" s="21" t="e">
        <f>IF(AND('Mapa final'!#REF!="Baja",'Mapa final'!#REF!="Mayor"),CONCATENATE("R7C",'Mapa final'!#REF!),"")</f>
        <v>#REF!</v>
      </c>
      <c r="AC42" s="22" t="e">
        <f>IF(AND('Mapa final'!#REF!="Baja",'Mapa final'!#REF!="Mayor"),CONCATENATE("R7C",'Mapa final'!#REF!),"")</f>
        <v>#REF!</v>
      </c>
      <c r="AD42" s="22" t="e">
        <f>IF(AND('Mapa final'!#REF!="Baja",'Mapa final'!#REF!="Mayor"),CONCATENATE("R7C",'Mapa final'!#REF!),"")</f>
        <v>#REF!</v>
      </c>
      <c r="AE42" s="22" t="e">
        <f>IF(AND('Mapa final'!#REF!="Baja",'Mapa final'!#REF!="Mayor"),CONCATENATE("R7C",'Mapa final'!#REF!),"")</f>
        <v>#REF!</v>
      </c>
      <c r="AF42" s="22" t="e">
        <f>IF(AND('Mapa final'!#REF!="Baja",'Mapa final'!#REF!="Mayor"),CONCATENATE("R7C",'Mapa final'!#REF!),"")</f>
        <v>#REF!</v>
      </c>
      <c r="AG42" s="23" t="e">
        <f>IF(AND('Mapa final'!#REF!="Baja",'Mapa final'!#REF!="Mayor"),CONCATENATE("R7C",'Mapa final'!#REF!),"")</f>
        <v>#REF!</v>
      </c>
      <c r="AH42" s="24" t="e">
        <f>IF(AND('Mapa final'!#REF!="Baja",'Mapa final'!#REF!="Catastrófico"),CONCATENATE("R7C",'Mapa final'!#REF!),"")</f>
        <v>#REF!</v>
      </c>
      <c r="AI42" s="25" t="e">
        <f>IF(AND('Mapa final'!#REF!="Baja",'Mapa final'!#REF!="Catastrófico"),CONCATENATE("R7C",'Mapa final'!#REF!),"")</f>
        <v>#REF!</v>
      </c>
      <c r="AJ42" s="25" t="e">
        <f>IF(AND('Mapa final'!#REF!="Baja",'Mapa final'!#REF!="Catastrófico"),CONCATENATE("R7C",'Mapa final'!#REF!),"")</f>
        <v>#REF!</v>
      </c>
      <c r="AK42" s="25" t="e">
        <f>IF(AND('Mapa final'!#REF!="Baja",'Mapa final'!#REF!="Catastrófico"),CONCATENATE("R7C",'Mapa final'!#REF!),"")</f>
        <v>#REF!</v>
      </c>
      <c r="AL42" s="25" t="e">
        <f>IF(AND('Mapa final'!#REF!="Baja",'Mapa final'!#REF!="Catastrófico"),CONCATENATE("R7C",'Mapa final'!#REF!),"")</f>
        <v>#REF!</v>
      </c>
      <c r="AM42" s="26" t="e">
        <f>IF(AND('Mapa final'!#REF!="Baja",'Mapa final'!#REF!="Catastrófico"),CONCATENATE("R7C",'Mapa final'!#REF!),"")</f>
        <v>#REF!</v>
      </c>
      <c r="AN42" s="1"/>
      <c r="AO42" s="272"/>
      <c r="AP42" s="218"/>
      <c r="AQ42" s="218"/>
      <c r="AR42" s="218"/>
      <c r="AS42" s="218"/>
      <c r="AT42" s="273"/>
    </row>
    <row r="43" spans="2:46" ht="15" customHeight="1" x14ac:dyDescent="0.25">
      <c r="B43" s="263"/>
      <c r="C43" s="218"/>
      <c r="D43" s="219"/>
      <c r="E43" s="230"/>
      <c r="F43" s="218"/>
      <c r="G43" s="218"/>
      <c r="H43" s="218"/>
      <c r="I43" s="218"/>
      <c r="J43" s="45" t="e">
        <f>IF(AND('Mapa final'!#REF!="Baja",'Mapa final'!#REF!="Leve"),CONCATENATE("R8C",'Mapa final'!#REF!),"")</f>
        <v>#REF!</v>
      </c>
      <c r="K43" s="46" t="e">
        <f>IF(AND('Mapa final'!#REF!="Baja",'Mapa final'!#REF!="Leve"),CONCATENATE("R8C",'Mapa final'!#REF!),"")</f>
        <v>#REF!</v>
      </c>
      <c r="L43" s="46" t="e">
        <f>IF(AND('Mapa final'!#REF!="Baja",'Mapa final'!#REF!="Leve"),CONCATENATE("R8C",'Mapa final'!#REF!),"")</f>
        <v>#REF!</v>
      </c>
      <c r="M43" s="46" t="e">
        <f>IF(AND('Mapa final'!#REF!="Baja",'Mapa final'!#REF!="Leve"),CONCATENATE("R8C",'Mapa final'!#REF!),"")</f>
        <v>#REF!</v>
      </c>
      <c r="N43" s="46" t="e">
        <f>IF(AND('Mapa final'!#REF!="Baja",'Mapa final'!#REF!="Leve"),CONCATENATE("R8C",'Mapa final'!#REF!),"")</f>
        <v>#REF!</v>
      </c>
      <c r="O43" s="47" t="e">
        <f>IF(AND('Mapa final'!#REF!="Baja",'Mapa final'!#REF!="Leve"),CONCATENATE("R8C",'Mapa final'!#REF!),"")</f>
        <v>#REF!</v>
      </c>
      <c r="P43" s="36" t="e">
        <f>IF(AND('Mapa final'!#REF!="Baja",'Mapa final'!#REF!="Menor"),CONCATENATE("R8C",'Mapa final'!#REF!),"")</f>
        <v>#REF!</v>
      </c>
      <c r="Q43" s="37" t="e">
        <f>IF(AND('Mapa final'!#REF!="Baja",'Mapa final'!#REF!="Menor"),CONCATENATE("R8C",'Mapa final'!#REF!),"")</f>
        <v>#REF!</v>
      </c>
      <c r="R43" s="37" t="e">
        <f>IF(AND('Mapa final'!#REF!="Baja",'Mapa final'!#REF!="Menor"),CONCATENATE("R8C",'Mapa final'!#REF!),"")</f>
        <v>#REF!</v>
      </c>
      <c r="S43" s="37" t="e">
        <f>IF(AND('Mapa final'!#REF!="Baja",'Mapa final'!#REF!="Menor"),CONCATENATE("R8C",'Mapa final'!#REF!),"")</f>
        <v>#REF!</v>
      </c>
      <c r="T43" s="37" t="e">
        <f>IF(AND('Mapa final'!#REF!="Baja",'Mapa final'!#REF!="Menor"),CONCATENATE("R8C",'Mapa final'!#REF!),"")</f>
        <v>#REF!</v>
      </c>
      <c r="U43" s="38" t="e">
        <f>IF(AND('Mapa final'!#REF!="Baja",'Mapa final'!#REF!="Menor"),CONCATENATE("R8C",'Mapa final'!#REF!),"")</f>
        <v>#REF!</v>
      </c>
      <c r="V43" s="36" t="e">
        <f>IF(AND('Mapa final'!#REF!="Baja",'Mapa final'!#REF!="Moderado"),CONCATENATE("R8C",'Mapa final'!#REF!),"")</f>
        <v>#REF!</v>
      </c>
      <c r="W43" s="37" t="e">
        <f>IF(AND('Mapa final'!#REF!="Baja",'Mapa final'!#REF!="Moderado"),CONCATENATE("R8C",'Mapa final'!#REF!),"")</f>
        <v>#REF!</v>
      </c>
      <c r="X43" s="37" t="e">
        <f>IF(AND('Mapa final'!#REF!="Baja",'Mapa final'!#REF!="Moderado"),CONCATENATE("R8C",'Mapa final'!#REF!),"")</f>
        <v>#REF!</v>
      </c>
      <c r="Y43" s="37" t="e">
        <f>IF(AND('Mapa final'!#REF!="Baja",'Mapa final'!#REF!="Moderado"),CONCATENATE("R8C",'Mapa final'!#REF!),"")</f>
        <v>#REF!</v>
      </c>
      <c r="Z43" s="37" t="e">
        <f>IF(AND('Mapa final'!#REF!="Baja",'Mapa final'!#REF!="Moderado"),CONCATENATE("R8C",'Mapa final'!#REF!),"")</f>
        <v>#REF!</v>
      </c>
      <c r="AA43" s="38" t="e">
        <f>IF(AND('Mapa final'!#REF!="Baja",'Mapa final'!#REF!="Moderado"),CONCATENATE("R8C",'Mapa final'!#REF!),"")</f>
        <v>#REF!</v>
      </c>
      <c r="AB43" s="21" t="e">
        <f>IF(AND('Mapa final'!#REF!="Baja",'Mapa final'!#REF!="Mayor"),CONCATENATE("R8C",'Mapa final'!#REF!),"")</f>
        <v>#REF!</v>
      </c>
      <c r="AC43" s="22" t="e">
        <f>IF(AND('Mapa final'!#REF!="Baja",'Mapa final'!#REF!="Mayor"),CONCATENATE("R8C",'Mapa final'!#REF!),"")</f>
        <v>#REF!</v>
      </c>
      <c r="AD43" s="22" t="e">
        <f>IF(AND('Mapa final'!#REF!="Baja",'Mapa final'!#REF!="Mayor"),CONCATENATE("R8C",'Mapa final'!#REF!),"")</f>
        <v>#REF!</v>
      </c>
      <c r="AE43" s="22" t="e">
        <f>IF(AND('Mapa final'!#REF!="Baja",'Mapa final'!#REF!="Mayor"),CONCATENATE("R8C",'Mapa final'!#REF!),"")</f>
        <v>#REF!</v>
      </c>
      <c r="AF43" s="22" t="e">
        <f>IF(AND('Mapa final'!#REF!="Baja",'Mapa final'!#REF!="Mayor"),CONCATENATE("R8C",'Mapa final'!#REF!),"")</f>
        <v>#REF!</v>
      </c>
      <c r="AG43" s="23" t="e">
        <f>IF(AND('Mapa final'!#REF!="Baja",'Mapa final'!#REF!="Mayor"),CONCATENATE("R8C",'Mapa final'!#REF!),"")</f>
        <v>#REF!</v>
      </c>
      <c r="AH43" s="24" t="e">
        <f>IF(AND('Mapa final'!#REF!="Baja",'Mapa final'!#REF!="Catastrófico"),CONCATENATE("R8C",'Mapa final'!#REF!),"")</f>
        <v>#REF!</v>
      </c>
      <c r="AI43" s="25" t="e">
        <f>IF(AND('Mapa final'!#REF!="Baja",'Mapa final'!#REF!="Catastrófico"),CONCATENATE("R8C",'Mapa final'!#REF!),"")</f>
        <v>#REF!</v>
      </c>
      <c r="AJ43" s="25" t="e">
        <f>IF(AND('Mapa final'!#REF!="Baja",'Mapa final'!#REF!="Catastrófico"),CONCATENATE("R8C",'Mapa final'!#REF!),"")</f>
        <v>#REF!</v>
      </c>
      <c r="AK43" s="25" t="e">
        <f>IF(AND('Mapa final'!#REF!="Baja",'Mapa final'!#REF!="Catastrófico"),CONCATENATE("R8C",'Mapa final'!#REF!),"")</f>
        <v>#REF!</v>
      </c>
      <c r="AL43" s="25" t="e">
        <f>IF(AND('Mapa final'!#REF!="Baja",'Mapa final'!#REF!="Catastrófico"),CONCATENATE("R8C",'Mapa final'!#REF!),"")</f>
        <v>#REF!</v>
      </c>
      <c r="AM43" s="26" t="e">
        <f>IF(AND('Mapa final'!#REF!="Baja",'Mapa final'!#REF!="Catastrófico"),CONCATENATE("R8C",'Mapa final'!#REF!),"")</f>
        <v>#REF!</v>
      </c>
      <c r="AN43" s="1"/>
      <c r="AO43" s="272"/>
      <c r="AP43" s="218"/>
      <c r="AQ43" s="218"/>
      <c r="AR43" s="218"/>
      <c r="AS43" s="218"/>
      <c r="AT43" s="273"/>
    </row>
    <row r="44" spans="2:46" ht="15" customHeight="1" x14ac:dyDescent="0.25">
      <c r="B44" s="263"/>
      <c r="C44" s="218"/>
      <c r="D44" s="219"/>
      <c r="E44" s="230"/>
      <c r="F44" s="218"/>
      <c r="G44" s="218"/>
      <c r="H44" s="218"/>
      <c r="I44" s="218"/>
      <c r="J44" s="45" t="e">
        <f>IF(AND('Mapa final'!#REF!="Baja",'Mapa final'!#REF!="Leve"),CONCATENATE("R9C",'Mapa final'!#REF!),"")</f>
        <v>#REF!</v>
      </c>
      <c r="K44" s="46" t="e">
        <f>IF(AND('Mapa final'!#REF!="Baja",'Mapa final'!#REF!="Leve"),CONCATENATE("R9C",'Mapa final'!#REF!),"")</f>
        <v>#REF!</v>
      </c>
      <c r="L44" s="46" t="e">
        <f>IF(AND('Mapa final'!#REF!="Baja",'Mapa final'!#REF!="Leve"),CONCATENATE("R9C",'Mapa final'!#REF!),"")</f>
        <v>#REF!</v>
      </c>
      <c r="M44" s="46" t="e">
        <f>IF(AND('Mapa final'!#REF!="Baja",'Mapa final'!#REF!="Leve"),CONCATENATE("R9C",'Mapa final'!#REF!),"")</f>
        <v>#REF!</v>
      </c>
      <c r="N44" s="46" t="e">
        <f>IF(AND('Mapa final'!#REF!="Baja",'Mapa final'!#REF!="Leve"),CONCATENATE("R9C",'Mapa final'!#REF!),"")</f>
        <v>#REF!</v>
      </c>
      <c r="O44" s="47" t="e">
        <f>IF(AND('Mapa final'!#REF!="Baja",'Mapa final'!#REF!="Leve"),CONCATENATE("R9C",'Mapa final'!#REF!),"")</f>
        <v>#REF!</v>
      </c>
      <c r="P44" s="36" t="e">
        <f>IF(AND('Mapa final'!#REF!="Baja",'Mapa final'!#REF!="Menor"),CONCATENATE("R9C",'Mapa final'!#REF!),"")</f>
        <v>#REF!</v>
      </c>
      <c r="Q44" s="37" t="e">
        <f>IF(AND('Mapa final'!#REF!="Baja",'Mapa final'!#REF!="Menor"),CONCATENATE("R9C",'Mapa final'!#REF!),"")</f>
        <v>#REF!</v>
      </c>
      <c r="R44" s="37" t="e">
        <f>IF(AND('Mapa final'!#REF!="Baja",'Mapa final'!#REF!="Menor"),CONCATENATE("R9C",'Mapa final'!#REF!),"")</f>
        <v>#REF!</v>
      </c>
      <c r="S44" s="37" t="e">
        <f>IF(AND('Mapa final'!#REF!="Baja",'Mapa final'!#REF!="Menor"),CONCATENATE("R9C",'Mapa final'!#REF!),"")</f>
        <v>#REF!</v>
      </c>
      <c r="T44" s="37" t="e">
        <f>IF(AND('Mapa final'!#REF!="Baja",'Mapa final'!#REF!="Menor"),CONCATENATE("R9C",'Mapa final'!#REF!),"")</f>
        <v>#REF!</v>
      </c>
      <c r="U44" s="38" t="e">
        <f>IF(AND('Mapa final'!#REF!="Baja",'Mapa final'!#REF!="Menor"),CONCATENATE("R9C",'Mapa final'!#REF!),"")</f>
        <v>#REF!</v>
      </c>
      <c r="V44" s="36" t="e">
        <f>IF(AND('Mapa final'!#REF!="Baja",'Mapa final'!#REF!="Moderado"),CONCATENATE("R9C",'Mapa final'!#REF!),"")</f>
        <v>#REF!</v>
      </c>
      <c r="W44" s="37" t="e">
        <f>IF(AND('Mapa final'!#REF!="Baja",'Mapa final'!#REF!="Moderado"),CONCATENATE("R9C",'Mapa final'!#REF!),"")</f>
        <v>#REF!</v>
      </c>
      <c r="X44" s="37" t="e">
        <f>IF(AND('Mapa final'!#REF!="Baja",'Mapa final'!#REF!="Moderado"),CONCATENATE("R9C",'Mapa final'!#REF!),"")</f>
        <v>#REF!</v>
      </c>
      <c r="Y44" s="37" t="e">
        <f>IF(AND('Mapa final'!#REF!="Baja",'Mapa final'!#REF!="Moderado"),CONCATENATE("R9C",'Mapa final'!#REF!),"")</f>
        <v>#REF!</v>
      </c>
      <c r="Z44" s="37" t="e">
        <f>IF(AND('Mapa final'!#REF!="Baja",'Mapa final'!#REF!="Moderado"),CONCATENATE("R9C",'Mapa final'!#REF!),"")</f>
        <v>#REF!</v>
      </c>
      <c r="AA44" s="38" t="e">
        <f>IF(AND('Mapa final'!#REF!="Baja",'Mapa final'!#REF!="Moderado"),CONCATENATE("R9C",'Mapa final'!#REF!),"")</f>
        <v>#REF!</v>
      </c>
      <c r="AB44" s="21" t="e">
        <f>IF(AND('Mapa final'!#REF!="Baja",'Mapa final'!#REF!="Mayor"),CONCATENATE("R9C",'Mapa final'!#REF!),"")</f>
        <v>#REF!</v>
      </c>
      <c r="AC44" s="22" t="e">
        <f>IF(AND('Mapa final'!#REF!="Baja",'Mapa final'!#REF!="Mayor"),CONCATENATE("R9C",'Mapa final'!#REF!),"")</f>
        <v>#REF!</v>
      </c>
      <c r="AD44" s="22" t="e">
        <f>IF(AND('Mapa final'!#REF!="Baja",'Mapa final'!#REF!="Mayor"),CONCATENATE("R9C",'Mapa final'!#REF!),"")</f>
        <v>#REF!</v>
      </c>
      <c r="AE44" s="22" t="e">
        <f>IF(AND('Mapa final'!#REF!="Baja",'Mapa final'!#REF!="Mayor"),CONCATENATE("R9C",'Mapa final'!#REF!),"")</f>
        <v>#REF!</v>
      </c>
      <c r="AF44" s="22" t="e">
        <f>IF(AND('Mapa final'!#REF!="Baja",'Mapa final'!#REF!="Mayor"),CONCATENATE("R9C",'Mapa final'!#REF!),"")</f>
        <v>#REF!</v>
      </c>
      <c r="AG44" s="23" t="e">
        <f>IF(AND('Mapa final'!#REF!="Baja",'Mapa final'!#REF!="Mayor"),CONCATENATE("R9C",'Mapa final'!#REF!),"")</f>
        <v>#REF!</v>
      </c>
      <c r="AH44" s="24" t="e">
        <f>IF(AND('Mapa final'!#REF!="Baja",'Mapa final'!#REF!="Catastrófico"),CONCATENATE("R9C",'Mapa final'!#REF!),"")</f>
        <v>#REF!</v>
      </c>
      <c r="AI44" s="25" t="e">
        <f>IF(AND('Mapa final'!#REF!="Baja",'Mapa final'!#REF!="Catastrófico"),CONCATENATE("R9C",'Mapa final'!#REF!),"")</f>
        <v>#REF!</v>
      </c>
      <c r="AJ44" s="25" t="e">
        <f>IF(AND('Mapa final'!#REF!="Baja",'Mapa final'!#REF!="Catastrófico"),CONCATENATE("R9C",'Mapa final'!#REF!),"")</f>
        <v>#REF!</v>
      </c>
      <c r="AK44" s="25" t="e">
        <f>IF(AND('Mapa final'!#REF!="Baja",'Mapa final'!#REF!="Catastrófico"),CONCATENATE("R9C",'Mapa final'!#REF!),"")</f>
        <v>#REF!</v>
      </c>
      <c r="AL44" s="25" t="e">
        <f>IF(AND('Mapa final'!#REF!="Baja",'Mapa final'!#REF!="Catastrófico"),CONCATENATE("R9C",'Mapa final'!#REF!),"")</f>
        <v>#REF!</v>
      </c>
      <c r="AM44" s="26" t="e">
        <f>IF(AND('Mapa final'!#REF!="Baja",'Mapa final'!#REF!="Catastrófico"),CONCATENATE("R9C",'Mapa final'!#REF!),"")</f>
        <v>#REF!</v>
      </c>
      <c r="AN44" s="1"/>
      <c r="AO44" s="272"/>
      <c r="AP44" s="218"/>
      <c r="AQ44" s="218"/>
      <c r="AR44" s="218"/>
      <c r="AS44" s="218"/>
      <c r="AT44" s="273"/>
    </row>
    <row r="45" spans="2:46" ht="15.75" customHeight="1" x14ac:dyDescent="0.25">
      <c r="B45" s="263"/>
      <c r="C45" s="218"/>
      <c r="D45" s="219"/>
      <c r="E45" s="253"/>
      <c r="F45" s="254"/>
      <c r="G45" s="254"/>
      <c r="H45" s="254"/>
      <c r="I45" s="254"/>
      <c r="J45" s="48" t="e">
        <f>IF(AND('Mapa final'!#REF!="Baja",'Mapa final'!#REF!="Leve"),CONCATENATE("R10C",'Mapa final'!#REF!),"")</f>
        <v>#REF!</v>
      </c>
      <c r="K45" s="49" t="e">
        <f>IF(AND('Mapa final'!#REF!="Baja",'Mapa final'!#REF!="Leve"),CONCATENATE("R10C",'Mapa final'!#REF!),"")</f>
        <v>#REF!</v>
      </c>
      <c r="L45" s="49" t="e">
        <f>IF(AND('Mapa final'!#REF!="Baja",'Mapa final'!#REF!="Leve"),CONCATENATE("R10C",'Mapa final'!#REF!),"")</f>
        <v>#REF!</v>
      </c>
      <c r="M45" s="49" t="e">
        <f>IF(AND('Mapa final'!#REF!="Baja",'Mapa final'!#REF!="Leve"),CONCATENATE("R10C",'Mapa final'!#REF!),"")</f>
        <v>#REF!</v>
      </c>
      <c r="N45" s="49" t="e">
        <f>IF(AND('Mapa final'!#REF!="Baja",'Mapa final'!#REF!="Leve"),CONCATENATE("R10C",'Mapa final'!#REF!),"")</f>
        <v>#REF!</v>
      </c>
      <c r="O45" s="50" t="e">
        <f>IF(AND('Mapa final'!#REF!="Baja",'Mapa final'!#REF!="Leve"),CONCATENATE("R10C",'Mapa final'!#REF!),"")</f>
        <v>#REF!</v>
      </c>
      <c r="P45" s="36" t="e">
        <f>IF(AND('Mapa final'!#REF!="Baja",'Mapa final'!#REF!="Menor"),CONCATENATE("R10C",'Mapa final'!#REF!),"")</f>
        <v>#REF!</v>
      </c>
      <c r="Q45" s="37" t="e">
        <f>IF(AND('Mapa final'!#REF!="Baja",'Mapa final'!#REF!="Menor"),CONCATENATE("R10C",'Mapa final'!#REF!),"")</f>
        <v>#REF!</v>
      </c>
      <c r="R45" s="37" t="e">
        <f>IF(AND('Mapa final'!#REF!="Baja",'Mapa final'!#REF!="Menor"),CONCATENATE("R10C",'Mapa final'!#REF!),"")</f>
        <v>#REF!</v>
      </c>
      <c r="S45" s="37" t="e">
        <f>IF(AND('Mapa final'!#REF!="Baja",'Mapa final'!#REF!="Menor"),CONCATENATE("R10C",'Mapa final'!#REF!),"")</f>
        <v>#REF!</v>
      </c>
      <c r="T45" s="37" t="e">
        <f>IF(AND('Mapa final'!#REF!="Baja",'Mapa final'!#REF!="Menor"),CONCATENATE("R10C",'Mapa final'!#REF!),"")</f>
        <v>#REF!</v>
      </c>
      <c r="U45" s="38" t="e">
        <f>IF(AND('Mapa final'!#REF!="Baja",'Mapa final'!#REF!="Menor"),CONCATENATE("R10C",'Mapa final'!#REF!),"")</f>
        <v>#REF!</v>
      </c>
      <c r="V45" s="39" t="e">
        <f>IF(AND('Mapa final'!#REF!="Baja",'Mapa final'!#REF!="Moderado"),CONCATENATE("R10C",'Mapa final'!#REF!),"")</f>
        <v>#REF!</v>
      </c>
      <c r="W45" s="40" t="e">
        <f>IF(AND('Mapa final'!#REF!="Baja",'Mapa final'!#REF!="Moderado"),CONCATENATE("R10C",'Mapa final'!#REF!),"")</f>
        <v>#REF!</v>
      </c>
      <c r="X45" s="40" t="e">
        <f>IF(AND('Mapa final'!#REF!="Baja",'Mapa final'!#REF!="Moderado"),CONCATENATE("R10C",'Mapa final'!#REF!),"")</f>
        <v>#REF!</v>
      </c>
      <c r="Y45" s="40" t="e">
        <f>IF(AND('Mapa final'!#REF!="Baja",'Mapa final'!#REF!="Moderado"),CONCATENATE("R10C",'Mapa final'!#REF!),"")</f>
        <v>#REF!</v>
      </c>
      <c r="Z45" s="40" t="e">
        <f>IF(AND('Mapa final'!#REF!="Baja",'Mapa final'!#REF!="Moderado"),CONCATENATE("R10C",'Mapa final'!#REF!),"")</f>
        <v>#REF!</v>
      </c>
      <c r="AA45" s="41" t="e">
        <f>IF(AND('Mapa final'!#REF!="Baja",'Mapa final'!#REF!="Moderado"),CONCATENATE("R10C",'Mapa final'!#REF!),"")</f>
        <v>#REF!</v>
      </c>
      <c r="AB45" s="27" t="e">
        <f>IF(AND('Mapa final'!#REF!="Baja",'Mapa final'!#REF!="Mayor"),CONCATENATE("R10C",'Mapa final'!#REF!),"")</f>
        <v>#REF!</v>
      </c>
      <c r="AC45" s="28" t="e">
        <f>IF(AND('Mapa final'!#REF!="Baja",'Mapa final'!#REF!="Mayor"),CONCATENATE("R10C",'Mapa final'!#REF!),"")</f>
        <v>#REF!</v>
      </c>
      <c r="AD45" s="28" t="e">
        <f>IF(AND('Mapa final'!#REF!="Baja",'Mapa final'!#REF!="Mayor"),CONCATENATE("R10C",'Mapa final'!#REF!),"")</f>
        <v>#REF!</v>
      </c>
      <c r="AE45" s="28" t="e">
        <f>IF(AND('Mapa final'!#REF!="Baja",'Mapa final'!#REF!="Mayor"),CONCATENATE("R10C",'Mapa final'!#REF!),"")</f>
        <v>#REF!</v>
      </c>
      <c r="AF45" s="28" t="e">
        <f>IF(AND('Mapa final'!#REF!="Baja",'Mapa final'!#REF!="Mayor"),CONCATENATE("R10C",'Mapa final'!#REF!),"")</f>
        <v>#REF!</v>
      </c>
      <c r="AG45" s="29" t="e">
        <f>IF(AND('Mapa final'!#REF!="Baja",'Mapa final'!#REF!="Mayor"),CONCATENATE("R10C",'Mapa final'!#REF!),"")</f>
        <v>#REF!</v>
      </c>
      <c r="AH45" s="30" t="e">
        <f>IF(AND('Mapa final'!#REF!="Baja",'Mapa final'!#REF!="Catastrófico"),CONCATENATE("R10C",'Mapa final'!#REF!),"")</f>
        <v>#REF!</v>
      </c>
      <c r="AI45" s="31" t="e">
        <f>IF(AND('Mapa final'!#REF!="Baja",'Mapa final'!#REF!="Catastrófico"),CONCATENATE("R10C",'Mapa final'!#REF!),"")</f>
        <v>#REF!</v>
      </c>
      <c r="AJ45" s="31" t="e">
        <f>IF(AND('Mapa final'!#REF!="Baja",'Mapa final'!#REF!="Catastrófico"),CONCATENATE("R10C",'Mapa final'!#REF!),"")</f>
        <v>#REF!</v>
      </c>
      <c r="AK45" s="31" t="e">
        <f>IF(AND('Mapa final'!#REF!="Baja",'Mapa final'!#REF!="Catastrófico"),CONCATENATE("R10C",'Mapa final'!#REF!),"")</f>
        <v>#REF!</v>
      </c>
      <c r="AL45" s="31" t="e">
        <f>IF(AND('Mapa final'!#REF!="Baja",'Mapa final'!#REF!="Catastrófico"),CONCATENATE("R10C",'Mapa final'!#REF!),"")</f>
        <v>#REF!</v>
      </c>
      <c r="AM45" s="32" t="e">
        <f>IF(AND('Mapa final'!#REF!="Baja",'Mapa final'!#REF!="Catastrófico"),CONCATENATE("R10C",'Mapa final'!#REF!),"")</f>
        <v>#REF!</v>
      </c>
      <c r="AN45" s="1"/>
      <c r="AO45" s="274"/>
      <c r="AP45" s="275"/>
      <c r="AQ45" s="275"/>
      <c r="AR45" s="275"/>
      <c r="AS45" s="275"/>
      <c r="AT45" s="276"/>
    </row>
    <row r="46" spans="2:46" ht="46.5" customHeight="1" x14ac:dyDescent="0.35">
      <c r="B46" s="263"/>
      <c r="C46" s="218"/>
      <c r="D46" s="219"/>
      <c r="E46" s="281" t="s">
        <v>103</v>
      </c>
      <c r="F46" s="252"/>
      <c r="G46" s="252"/>
      <c r="H46" s="252"/>
      <c r="I46" s="238"/>
      <c r="J46" s="42" t="str">
        <f>IF(AND('Mapa final'!$Y$16="Muy Baja",'Mapa final'!$AA$16="Leve"),CONCATENATE("R1C",'Mapa final'!$O$16),"")</f>
        <v/>
      </c>
      <c r="K46" s="43" t="str">
        <f>IF(AND('Mapa final'!$Y$17="Muy Baja",'Mapa final'!$AA$17="Leve"),CONCATENATE("R1C",'Mapa final'!$O$17),"")</f>
        <v>R1C2</v>
      </c>
      <c r="L46" s="43" t="str">
        <f>IF(AND('Mapa final'!$Y$18="Muy Baja",'Mapa final'!$AA$18="Leve"),CONCATENATE("R1C",'Mapa final'!$O$18),"")</f>
        <v>R1C3</v>
      </c>
      <c r="M46" s="43" t="e">
        <f>IF(AND('Mapa final'!#REF!="Muy Baja",'Mapa final'!#REF!="Leve"),CONCATENATE("R1C",'Mapa final'!#REF!),"")</f>
        <v>#REF!</v>
      </c>
      <c r="N46" s="43" t="e">
        <f>IF(AND('Mapa final'!#REF!="Muy Baja",'Mapa final'!#REF!="Leve"),CONCATENATE("R1C",'Mapa final'!#REF!),"")</f>
        <v>#REF!</v>
      </c>
      <c r="O46" s="44" t="e">
        <f>IF(AND('Mapa final'!#REF!="Muy Baja",'Mapa final'!#REF!="Leve"),CONCATENATE("R1C",'Mapa final'!#REF!),"")</f>
        <v>#REF!</v>
      </c>
      <c r="P46" s="42" t="str">
        <f>IF(AND('Mapa final'!$Y$16="Muy Baja",'Mapa final'!$AA$16="Menor"),CONCATENATE("R1C",'Mapa final'!$O$16),"")</f>
        <v/>
      </c>
      <c r="Q46" s="43" t="str">
        <f>IF(AND('Mapa final'!$Y$17="Muy Baja",'Mapa final'!$AA$17="Menor"),CONCATENATE("R1C",'Mapa final'!$O$17),"")</f>
        <v/>
      </c>
      <c r="R46" s="43" t="str">
        <f>IF(AND('Mapa final'!$Y$18="Muy Baja",'Mapa final'!$AA$18="Menor"),CONCATENATE("R1C",'Mapa final'!$O$18),"")</f>
        <v/>
      </c>
      <c r="S46" s="43" t="e">
        <f>IF(AND('Mapa final'!#REF!="Muy Baja",'Mapa final'!#REF!="Menor"),CONCATENATE("R1C",'Mapa final'!#REF!),"")</f>
        <v>#REF!</v>
      </c>
      <c r="T46" s="43" t="e">
        <f>IF(AND('Mapa final'!#REF!="Muy Baja",'Mapa final'!#REF!="Menor"),CONCATENATE("R1C",'Mapa final'!#REF!),"")</f>
        <v>#REF!</v>
      </c>
      <c r="U46" s="44" t="e">
        <f>IF(AND('Mapa final'!#REF!="Muy Baja",'Mapa final'!#REF!="Menor"),CONCATENATE("R1C",'Mapa final'!#REF!),"")</f>
        <v>#REF!</v>
      </c>
      <c r="V46" s="33" t="str">
        <f>IF(AND('Mapa final'!$Y$16="Muy Baja",'Mapa final'!$AA$16="Moderado"),CONCATENATE("R1C",'Mapa final'!$O$16),"")</f>
        <v/>
      </c>
      <c r="W46" s="51" t="str">
        <f>IF(AND('Mapa final'!$Y$17="Muy Baja",'Mapa final'!$AA$17="Moderado"),CONCATENATE("R1C",'Mapa final'!$O$17),"")</f>
        <v/>
      </c>
      <c r="X46" s="34" t="str">
        <f>IF(AND('Mapa final'!$Y$18="Muy Baja",'Mapa final'!$AA$18="Moderado"),CONCATENATE("R1C",'Mapa final'!$O$18),"")</f>
        <v/>
      </c>
      <c r="Y46" s="34" t="e">
        <f>IF(AND('Mapa final'!#REF!="Muy Baja",'Mapa final'!#REF!="Moderado"),CONCATENATE("R1C",'Mapa final'!#REF!),"")</f>
        <v>#REF!</v>
      </c>
      <c r="Z46" s="34" t="e">
        <f>IF(AND('Mapa final'!#REF!="Muy Baja",'Mapa final'!#REF!="Moderado"),CONCATENATE("R1C",'Mapa final'!#REF!),"")</f>
        <v>#REF!</v>
      </c>
      <c r="AA46" s="35" t="e">
        <f>IF(AND('Mapa final'!#REF!="Muy Baja",'Mapa final'!#REF!="Moderado"),CONCATENATE("R1C",'Mapa final'!#REF!),"")</f>
        <v>#REF!</v>
      </c>
      <c r="AB46" s="15" t="str">
        <f>IF(AND('Mapa final'!$Y$16="Muy Baja",'Mapa final'!$AA$16="Mayor"),CONCATENATE("R1C",'Mapa final'!$O$16),"")</f>
        <v/>
      </c>
      <c r="AC46" s="16" t="str">
        <f>IF(AND('Mapa final'!$Y$17="Muy Baja",'Mapa final'!$AA$17="Mayor"),CONCATENATE("R1C",'Mapa final'!$O$17),"")</f>
        <v/>
      </c>
      <c r="AD46" s="16" t="str">
        <f>IF(AND('Mapa final'!$Y$18="Muy Baja",'Mapa final'!$AA$18="Mayor"),CONCATENATE("R1C",'Mapa final'!$O$18),"")</f>
        <v/>
      </c>
      <c r="AE46" s="16" t="e">
        <f>IF(AND('Mapa final'!#REF!="Muy Baja",'Mapa final'!#REF!="Mayor"),CONCATENATE("R1C",'Mapa final'!#REF!),"")</f>
        <v>#REF!</v>
      </c>
      <c r="AF46" s="16" t="e">
        <f>IF(AND('Mapa final'!#REF!="Muy Baja",'Mapa final'!#REF!="Mayor"),CONCATENATE("R1C",'Mapa final'!#REF!),"")</f>
        <v>#REF!</v>
      </c>
      <c r="AG46" s="17" t="e">
        <f>IF(AND('Mapa final'!#REF!="Muy Baja",'Mapa final'!#REF!="Mayor"),CONCATENATE("R1C",'Mapa final'!#REF!),"")</f>
        <v>#REF!</v>
      </c>
      <c r="AH46" s="18" t="str">
        <f>IF(AND('Mapa final'!$Y$16="Muy Baja",'Mapa final'!$AA$16="Catastrófico"),CONCATENATE("R1C",'Mapa final'!$O$16),"")</f>
        <v/>
      </c>
      <c r="AI46" s="19" t="str">
        <f>IF(AND('Mapa final'!$Y$17="Muy Baja",'Mapa final'!$AA$17="Catastrófico"),CONCATENATE("R1C",'Mapa final'!$O$17),"")</f>
        <v/>
      </c>
      <c r="AJ46" s="19" t="str">
        <f>IF(AND('Mapa final'!$Y$18="Muy Baja",'Mapa final'!$AA$18="Catastrófico"),CONCATENATE("R1C",'Mapa final'!$O$18),"")</f>
        <v/>
      </c>
      <c r="AK46" s="19" t="e">
        <f>IF(AND('Mapa final'!#REF!="Muy Baja",'Mapa final'!#REF!="Catastrófico"),CONCATENATE("R1C",'Mapa final'!#REF!),"")</f>
        <v>#REF!</v>
      </c>
      <c r="AL46" s="19" t="e">
        <f>IF(AND('Mapa final'!#REF!="Muy Baja",'Mapa final'!#REF!="Catastrófico"),CONCATENATE("R1C",'Mapa final'!#REF!),"")</f>
        <v>#REF!</v>
      </c>
      <c r="AM46" s="20" t="e">
        <f>IF(AND('Mapa final'!#REF!="Muy Baja",'Mapa final'!#REF!="Catastrófico"),CONCATENATE("R1C",'Mapa final'!#REF!),"")</f>
        <v>#REF!</v>
      </c>
      <c r="AN46" s="1"/>
      <c r="AO46" s="1"/>
      <c r="AP46" s="1"/>
      <c r="AQ46" s="1"/>
      <c r="AR46" s="1"/>
      <c r="AS46" s="1"/>
      <c r="AT46" s="1"/>
    </row>
    <row r="47" spans="2:46" ht="46.5" customHeight="1" x14ac:dyDescent="0.25">
      <c r="B47" s="263"/>
      <c r="C47" s="218"/>
      <c r="D47" s="219"/>
      <c r="E47" s="230"/>
      <c r="F47" s="218"/>
      <c r="G47" s="218"/>
      <c r="H47" s="218"/>
      <c r="I47" s="219"/>
      <c r="J47" s="45" t="str">
        <f>IF(AND('Mapa final'!$Y$23="Muy Baja",'Mapa final'!$AA$23="Leve"),CONCATENATE("R2C",'Mapa final'!$O$23),"")</f>
        <v/>
      </c>
      <c r="K47" s="46" t="e">
        <f>IF(AND('Mapa final'!#REF!="Muy Baja",'Mapa final'!#REF!="Leve"),CONCATENATE("R2C",'Mapa final'!#REF!),"")</f>
        <v>#REF!</v>
      </c>
      <c r="L47" s="46" t="e">
        <f>IF(AND('Mapa final'!#REF!="Muy Baja",'Mapa final'!#REF!="Leve"),CONCATENATE("R2C",'Mapa final'!#REF!),"")</f>
        <v>#REF!</v>
      </c>
      <c r="M47" s="46" t="e">
        <f>IF(AND('Mapa final'!#REF!="Muy Baja",'Mapa final'!#REF!="Leve"),CONCATENATE("R2C",'Mapa final'!#REF!),"")</f>
        <v>#REF!</v>
      </c>
      <c r="N47" s="46" t="str">
        <f>IF(AND('Mapa final'!$Y$24="Muy Baja",'Mapa final'!$AA$24="Leve"),CONCATENATE("R2C",'Mapa final'!$O$24),"")</f>
        <v>R2C2</v>
      </c>
      <c r="O47" s="47" t="str">
        <f>IF(AND('Mapa final'!$Y$25="Muy Baja",'Mapa final'!$AA$25="Leve"),CONCATENATE("R2C",'Mapa final'!$O$25),"")</f>
        <v>R2C3</v>
      </c>
      <c r="P47" s="45" t="str">
        <f>IF(AND('Mapa final'!$Y$23="Muy Baja",'Mapa final'!$AA$23="Menor"),CONCATENATE("R2C",'Mapa final'!$O$23),"")</f>
        <v/>
      </c>
      <c r="Q47" s="46" t="e">
        <f>IF(AND('Mapa final'!#REF!="Muy Baja",'Mapa final'!#REF!="Menor"),CONCATENATE("R2C",'Mapa final'!#REF!),"")</f>
        <v>#REF!</v>
      </c>
      <c r="R47" s="46" t="e">
        <f>IF(AND('Mapa final'!#REF!="Muy Baja",'Mapa final'!#REF!="Menor"),CONCATENATE("R2C",'Mapa final'!#REF!),"")</f>
        <v>#REF!</v>
      </c>
      <c r="S47" s="46" t="e">
        <f>IF(AND('Mapa final'!#REF!="Muy Baja",'Mapa final'!#REF!="Menor"),CONCATENATE("R2C",'Mapa final'!#REF!),"")</f>
        <v>#REF!</v>
      </c>
      <c r="T47" s="46" t="str">
        <f>IF(AND('Mapa final'!$Y$24="Muy Baja",'Mapa final'!$AA$24="Menor"),CONCATENATE("R2C",'Mapa final'!$O$24),"")</f>
        <v/>
      </c>
      <c r="U47" s="47" t="str">
        <f>IF(AND('Mapa final'!$Y$25="Muy Baja",'Mapa final'!$AA$25="Menor"),CONCATENATE("R2C",'Mapa final'!$O$25),"")</f>
        <v/>
      </c>
      <c r="V47" s="36" t="str">
        <f>IF(AND('Mapa final'!$Y$23="Muy Baja",'Mapa final'!$AA$23="Moderado"),CONCATENATE("R2C",'Mapa final'!$O$23),"")</f>
        <v/>
      </c>
      <c r="W47" s="37" t="e">
        <f>IF(AND('Mapa final'!#REF!="Muy Baja",'Mapa final'!#REF!="Moderado"),CONCATENATE("R2C",'Mapa final'!#REF!),"")</f>
        <v>#REF!</v>
      </c>
      <c r="X47" s="37" t="e">
        <f>IF(AND('Mapa final'!#REF!="Muy Baja",'Mapa final'!#REF!="Moderado"),CONCATENATE("R2C",'Mapa final'!#REF!),"")</f>
        <v>#REF!</v>
      </c>
      <c r="Y47" s="37" t="e">
        <f>IF(AND('Mapa final'!#REF!="Muy Baja",'Mapa final'!#REF!="Moderado"),CONCATENATE("R2C",'Mapa final'!#REF!),"")</f>
        <v>#REF!</v>
      </c>
      <c r="Z47" s="37" t="str">
        <f>IF(AND('Mapa final'!$Y$24="Muy Baja",'Mapa final'!$AA$24="Moderado"),CONCATENATE("R2C",'Mapa final'!$O$24),"")</f>
        <v/>
      </c>
      <c r="AA47" s="38" t="str">
        <f>IF(AND('Mapa final'!$Y$25="Muy Baja",'Mapa final'!$AA$25="Moderado"),CONCATENATE("R2C",'Mapa final'!$O$25),"")</f>
        <v/>
      </c>
      <c r="AB47" s="21" t="str">
        <f>IF(AND('Mapa final'!$Y$23="Muy Baja",'Mapa final'!$AA$23="Mayor"),CONCATENATE("R2C",'Mapa final'!$O$23),"")</f>
        <v/>
      </c>
      <c r="AC47" s="22" t="e">
        <f>IF(AND('Mapa final'!#REF!="Muy Baja",'Mapa final'!#REF!="Mayor"),CONCATENATE("R2C",'Mapa final'!#REF!),"")</f>
        <v>#REF!</v>
      </c>
      <c r="AD47" s="22" t="e">
        <f>IF(AND('Mapa final'!#REF!="Muy Baja",'Mapa final'!#REF!="Mayor"),CONCATENATE("R2C",'Mapa final'!#REF!),"")</f>
        <v>#REF!</v>
      </c>
      <c r="AE47" s="22" t="e">
        <f>IF(AND('Mapa final'!#REF!="Muy Baja",'Mapa final'!#REF!="Mayor"),CONCATENATE("R2C",'Mapa final'!#REF!),"")</f>
        <v>#REF!</v>
      </c>
      <c r="AF47" s="22" t="str">
        <f>IF(AND('Mapa final'!$Y$24="Muy Baja",'Mapa final'!$AA$24="Mayor"),CONCATENATE("R2C",'Mapa final'!$O$24),"")</f>
        <v/>
      </c>
      <c r="AG47" s="23" t="str">
        <f>IF(AND('Mapa final'!$Y$25="Muy Baja",'Mapa final'!$AA$25="Mayor"),CONCATENATE("R2C",'Mapa final'!$O$25),"")</f>
        <v/>
      </c>
      <c r="AH47" s="24" t="str">
        <f>IF(AND('Mapa final'!$Y$23="Muy Baja",'Mapa final'!$AA$23="Catastrófico"),CONCATENATE("R2C",'Mapa final'!$O$23),"")</f>
        <v/>
      </c>
      <c r="AI47" s="25" t="e">
        <f>IF(AND('Mapa final'!#REF!="Muy Baja",'Mapa final'!#REF!="Catastrófico"),CONCATENATE("R2C",'Mapa final'!#REF!),"")</f>
        <v>#REF!</v>
      </c>
      <c r="AJ47" s="25" t="e">
        <f>IF(AND('Mapa final'!#REF!="Muy Baja",'Mapa final'!#REF!="Catastrófico"),CONCATENATE("R2C",'Mapa final'!#REF!),"")</f>
        <v>#REF!</v>
      </c>
      <c r="AK47" s="25" t="e">
        <f>IF(AND('Mapa final'!#REF!="Muy Baja",'Mapa final'!#REF!="Catastrófico"),CONCATENATE("R2C",'Mapa final'!#REF!),"")</f>
        <v>#REF!</v>
      </c>
      <c r="AL47" s="25" t="str">
        <f>IF(AND('Mapa final'!$Y$24="Muy Baja",'Mapa final'!$AA$24="Catastrófico"),CONCATENATE("R2C",'Mapa final'!$O$24),"")</f>
        <v/>
      </c>
      <c r="AM47" s="26" t="str">
        <f>IF(AND('Mapa final'!$Y$25="Muy Baja",'Mapa final'!$AA$25="Catastrófico"),CONCATENATE("R2C",'Mapa final'!$O$25),"")</f>
        <v/>
      </c>
      <c r="AN47" s="1"/>
      <c r="AO47" s="1"/>
      <c r="AP47" s="1"/>
      <c r="AQ47" s="1"/>
      <c r="AR47" s="1"/>
      <c r="AS47" s="1"/>
      <c r="AT47" s="1"/>
    </row>
    <row r="48" spans="2:46" ht="15" customHeight="1" x14ac:dyDescent="0.25">
      <c r="B48" s="263"/>
      <c r="C48" s="218"/>
      <c r="D48" s="219"/>
      <c r="E48" s="230"/>
      <c r="F48" s="218"/>
      <c r="G48" s="218"/>
      <c r="H48" s="218"/>
      <c r="I48" s="219"/>
      <c r="J48" s="45" t="str">
        <f>IF(AND('Mapa final'!$Y$30="Muy Baja",'Mapa final'!$AA$30="Leve"),CONCATENATE("R3C",'Mapa final'!$O$30),"")</f>
        <v/>
      </c>
      <c r="K48" s="46" t="str">
        <f>IF(AND('Mapa final'!$Y$31="Muy Baja",'Mapa final'!$AA$31="Leve"),CONCATENATE("R3C",'Mapa final'!$O$31),"")</f>
        <v>R3C1</v>
      </c>
      <c r="L48" s="46" t="str">
        <f>IF(AND('Mapa final'!$Y$32="Muy Baja",'Mapa final'!$AA$32="Leve"),CONCATENATE("R3C",'Mapa final'!$O$32),"")</f>
        <v>R3C2</v>
      </c>
      <c r="M48" s="46" t="e">
        <f>IF(AND('Mapa final'!#REF!="Muy Baja",'Mapa final'!#REF!="Leve"),CONCATENATE("R3C",'Mapa final'!#REF!),"")</f>
        <v>#REF!</v>
      </c>
      <c r="N48" s="46" t="e">
        <f>IF(AND('Mapa final'!#REF!="Muy Baja",'Mapa final'!#REF!="Leve"),CONCATENATE("R3C",'Mapa final'!#REF!),"")</f>
        <v>#REF!</v>
      </c>
      <c r="O48" s="47" t="e">
        <f>IF(AND('Mapa final'!#REF!="Muy Baja",'Mapa final'!#REF!="Leve"),CONCATENATE("R3C",'Mapa final'!#REF!),"")</f>
        <v>#REF!</v>
      </c>
      <c r="P48" s="45" t="str">
        <f>IF(AND('Mapa final'!$Y$30="Muy Baja",'Mapa final'!$AA$30="Menor"),CONCATENATE("R3C",'Mapa final'!$O$30),"")</f>
        <v/>
      </c>
      <c r="Q48" s="46" t="str">
        <f>IF(AND('Mapa final'!$Y$31="Muy Baja",'Mapa final'!$AA$31="Menor"),CONCATENATE("R3C",'Mapa final'!$O$31),"")</f>
        <v/>
      </c>
      <c r="R48" s="46" t="str">
        <f>IF(AND('Mapa final'!$Y$32="Muy Baja",'Mapa final'!$AA$32="Menor"),CONCATENATE("R3C",'Mapa final'!$O$32),"")</f>
        <v/>
      </c>
      <c r="S48" s="46" t="e">
        <f>IF(AND('Mapa final'!#REF!="Muy Baja",'Mapa final'!#REF!="Menor"),CONCATENATE("R3C",'Mapa final'!#REF!),"")</f>
        <v>#REF!</v>
      </c>
      <c r="T48" s="46" t="e">
        <f>IF(AND('Mapa final'!#REF!="Muy Baja",'Mapa final'!#REF!="Menor"),CONCATENATE("R3C",'Mapa final'!#REF!),"")</f>
        <v>#REF!</v>
      </c>
      <c r="U48" s="47" t="e">
        <f>IF(AND('Mapa final'!#REF!="Muy Baja",'Mapa final'!#REF!="Menor"),CONCATENATE("R3C",'Mapa final'!#REF!),"")</f>
        <v>#REF!</v>
      </c>
      <c r="V48" s="36" t="str">
        <f>IF(AND('Mapa final'!$Y$30="Muy Baja",'Mapa final'!$AA$30="Moderado"),CONCATENATE("R3C",'Mapa final'!$O$30),"")</f>
        <v/>
      </c>
      <c r="W48" s="37" t="str">
        <f>IF(AND('Mapa final'!$Y$31="Muy Baja",'Mapa final'!$AA$31="Moderado"),CONCATENATE("R3C",'Mapa final'!$O$31),"")</f>
        <v/>
      </c>
      <c r="X48" s="37" t="str">
        <f>IF(AND('Mapa final'!$Y$32="Muy Baja",'Mapa final'!$AA$32="Moderado"),CONCATENATE("R3C",'Mapa final'!$O$32),"")</f>
        <v/>
      </c>
      <c r="Y48" s="37" t="e">
        <f>IF(AND('Mapa final'!#REF!="Muy Baja",'Mapa final'!#REF!="Moderado"),CONCATENATE("R3C",'Mapa final'!#REF!),"")</f>
        <v>#REF!</v>
      </c>
      <c r="Z48" s="37" t="e">
        <f>IF(AND('Mapa final'!#REF!="Muy Baja",'Mapa final'!#REF!="Moderado"),CONCATENATE("R3C",'Mapa final'!#REF!),"")</f>
        <v>#REF!</v>
      </c>
      <c r="AA48" s="38" t="e">
        <f>IF(AND('Mapa final'!#REF!="Muy Baja",'Mapa final'!#REF!="Moderado"),CONCATENATE("R3C",'Mapa final'!#REF!),"")</f>
        <v>#REF!</v>
      </c>
      <c r="AB48" s="21" t="str">
        <f>IF(AND('Mapa final'!$Y$30="Muy Baja",'Mapa final'!$AA$30="Mayor"),CONCATENATE("R3C",'Mapa final'!$O$30),"")</f>
        <v/>
      </c>
      <c r="AC48" s="22" t="str">
        <f>IF(AND('Mapa final'!$Y$31="Muy Baja",'Mapa final'!$AA$31="Mayor"),CONCATENATE("R3C",'Mapa final'!$O$31),"")</f>
        <v/>
      </c>
      <c r="AD48" s="22" t="str">
        <f>IF(AND('Mapa final'!$Y$32="Muy Baja",'Mapa final'!$AA$32="Mayor"),CONCATENATE("R3C",'Mapa final'!$O$32),"")</f>
        <v/>
      </c>
      <c r="AE48" s="22" t="e">
        <f>IF(AND('Mapa final'!#REF!="Muy Baja",'Mapa final'!#REF!="Mayor"),CONCATENATE("R3C",'Mapa final'!#REF!),"")</f>
        <v>#REF!</v>
      </c>
      <c r="AF48" s="22" t="e">
        <f>IF(AND('Mapa final'!#REF!="Muy Baja",'Mapa final'!#REF!="Mayor"),CONCATENATE("R3C",'Mapa final'!#REF!),"")</f>
        <v>#REF!</v>
      </c>
      <c r="AG48" s="23" t="e">
        <f>IF(AND('Mapa final'!#REF!="Muy Baja",'Mapa final'!#REF!="Mayor"),CONCATENATE("R3C",'Mapa final'!#REF!),"")</f>
        <v>#REF!</v>
      </c>
      <c r="AH48" s="24" t="str">
        <f>IF(AND('Mapa final'!$Y$30="Muy Baja",'Mapa final'!$AA$30="Catastrófico"),CONCATENATE("R3C",'Mapa final'!$O$30),"")</f>
        <v/>
      </c>
      <c r="AI48" s="25" t="str">
        <f>IF(AND('Mapa final'!$Y$31="Muy Baja",'Mapa final'!$AA$31="Catastrófico"),CONCATENATE("R3C",'Mapa final'!$O$31),"")</f>
        <v/>
      </c>
      <c r="AJ48" s="25" t="str">
        <f>IF(AND('Mapa final'!$Y$32="Muy Baja",'Mapa final'!$AA$32="Catastrófico"),CONCATENATE("R3C",'Mapa final'!$O$32),"")</f>
        <v/>
      </c>
      <c r="AK48" s="25" t="e">
        <f>IF(AND('Mapa final'!#REF!="Muy Baja",'Mapa final'!#REF!="Catastrófico"),CONCATENATE("R3C",'Mapa final'!#REF!),"")</f>
        <v>#REF!</v>
      </c>
      <c r="AL48" s="25" t="e">
        <f>IF(AND('Mapa final'!#REF!="Muy Baja",'Mapa final'!#REF!="Catastrófico"),CONCATENATE("R3C",'Mapa final'!#REF!),"")</f>
        <v>#REF!</v>
      </c>
      <c r="AM48" s="26" t="e">
        <f>IF(AND('Mapa final'!#REF!="Muy Baja",'Mapa final'!#REF!="Catastrófico"),CONCATENATE("R3C",'Mapa final'!#REF!),"")</f>
        <v>#REF!</v>
      </c>
      <c r="AN48" s="1"/>
      <c r="AO48" s="1"/>
      <c r="AP48" s="1"/>
      <c r="AQ48" s="1"/>
      <c r="AR48" s="1"/>
      <c r="AS48" s="1"/>
      <c r="AT48" s="1"/>
    </row>
    <row r="49" spans="2:39" ht="15" customHeight="1" x14ac:dyDescent="0.25">
      <c r="B49" s="263"/>
      <c r="C49" s="218"/>
      <c r="D49" s="219"/>
      <c r="E49" s="230"/>
      <c r="F49" s="218"/>
      <c r="G49" s="218"/>
      <c r="H49" s="218"/>
      <c r="I49" s="219"/>
      <c r="J49" s="45" t="str">
        <f>IF(AND('Mapa final'!$Y$37="Muy Baja",'Mapa final'!$AA$37="Leve"),CONCATENATE("R4C",'Mapa final'!$O$37),"")</f>
        <v/>
      </c>
      <c r="K49" s="46" t="str">
        <f>IF(AND('Mapa final'!$Y$38="Muy Baja",'Mapa final'!$AA$38="Leve"),CONCATENATE("R4C",'Mapa final'!$O$38),"")</f>
        <v>R4C2</v>
      </c>
      <c r="L49" s="46" t="e">
        <f>IF(AND('Mapa final'!#REF!="Muy Baja",'Mapa final'!#REF!="Leve"),CONCATENATE("R4C",'Mapa final'!#REF!),"")</f>
        <v>#REF!</v>
      </c>
      <c r="M49" s="46" t="str">
        <f>IF(AND('Mapa final'!$Y$39="Muy Baja",'Mapa final'!$AA$39="Leve"),CONCATENATE("R4C",'Mapa final'!$O$39),"")</f>
        <v>R4C3</v>
      </c>
      <c r="N49" s="46" t="e">
        <f>IF(AND('Mapa final'!#REF!="Muy Baja",'Mapa final'!#REF!="Leve"),CONCATENATE("R4C",'Mapa final'!#REF!),"")</f>
        <v>#REF!</v>
      </c>
      <c r="O49" s="47" t="e">
        <f>IF(AND('Mapa final'!#REF!="Muy Baja",'Mapa final'!#REF!="Leve"),CONCATENATE("R4C",'Mapa final'!#REF!),"")</f>
        <v>#REF!</v>
      </c>
      <c r="P49" s="45" t="str">
        <f>IF(AND('Mapa final'!$Y$37="Muy Baja",'Mapa final'!$AA$37="Menor"),CONCATENATE("R4C",'Mapa final'!$O$37),"")</f>
        <v/>
      </c>
      <c r="Q49" s="46" t="str">
        <f>IF(AND('Mapa final'!$Y$38="Muy Baja",'Mapa final'!$AA$38="Menor"),CONCATENATE("R4C",'Mapa final'!$O$38),"")</f>
        <v/>
      </c>
      <c r="R49" s="46" t="e">
        <f>IF(AND('Mapa final'!#REF!="Muy Baja",'Mapa final'!#REF!="Menor"),CONCATENATE("R4C",'Mapa final'!#REF!),"")</f>
        <v>#REF!</v>
      </c>
      <c r="S49" s="46" t="str">
        <f>IF(AND('Mapa final'!$Y$39="Muy Baja",'Mapa final'!$AA$39="Menor"),CONCATENATE("R4C",'Mapa final'!$O$39),"")</f>
        <v/>
      </c>
      <c r="T49" s="46" t="e">
        <f>IF(AND('Mapa final'!#REF!="Muy Baja",'Mapa final'!#REF!="Menor"),CONCATENATE("R4C",'Mapa final'!#REF!),"")</f>
        <v>#REF!</v>
      </c>
      <c r="U49" s="47" t="e">
        <f>IF(AND('Mapa final'!#REF!="Muy Baja",'Mapa final'!#REF!="Menor"),CONCATENATE("R4C",'Mapa final'!#REF!),"")</f>
        <v>#REF!</v>
      </c>
      <c r="V49" s="36" t="str">
        <f>IF(AND('Mapa final'!$Y$37="Muy Baja",'Mapa final'!$AA$37="Moderado"),CONCATENATE("R4C",'Mapa final'!$O$37),"")</f>
        <v/>
      </c>
      <c r="W49" s="37" t="str">
        <f>IF(AND('Mapa final'!$Y$38="Muy Baja",'Mapa final'!$AA$38="Moderado"),CONCATENATE("R4C",'Mapa final'!$O$38),"")</f>
        <v/>
      </c>
      <c r="X49" s="37" t="e">
        <f>IF(AND('Mapa final'!#REF!="Muy Baja",'Mapa final'!#REF!="Moderado"),CONCATENATE("R4C",'Mapa final'!#REF!),"")</f>
        <v>#REF!</v>
      </c>
      <c r="Y49" s="37" t="str">
        <f>IF(AND('Mapa final'!$Y$39="Muy Baja",'Mapa final'!$AA$39="Moderado"),CONCATENATE("R4C",'Mapa final'!$O$39),"")</f>
        <v/>
      </c>
      <c r="Z49" s="37" t="e">
        <f>IF(AND('Mapa final'!#REF!="Muy Baja",'Mapa final'!#REF!="Moderado"),CONCATENATE("R4C",'Mapa final'!#REF!),"")</f>
        <v>#REF!</v>
      </c>
      <c r="AA49" s="38" t="e">
        <f>IF(AND('Mapa final'!#REF!="Muy Baja",'Mapa final'!#REF!="Moderado"),CONCATENATE("R4C",'Mapa final'!#REF!),"")</f>
        <v>#REF!</v>
      </c>
      <c r="AB49" s="21" t="str">
        <f>IF(AND('Mapa final'!$Y$37="Muy Baja",'Mapa final'!$AA$37="Mayor"),CONCATENATE("R4C",'Mapa final'!$O$37),"")</f>
        <v/>
      </c>
      <c r="AC49" s="22" t="str">
        <f>IF(AND('Mapa final'!$Y$38="Muy Baja",'Mapa final'!$AA$38="Mayor"),CONCATENATE("R4C",'Mapa final'!$O$38),"")</f>
        <v/>
      </c>
      <c r="AD49" s="22" t="e">
        <f>IF(AND('Mapa final'!#REF!="Muy Baja",'Mapa final'!#REF!="Mayor"),CONCATENATE("R4C",'Mapa final'!#REF!),"")</f>
        <v>#REF!</v>
      </c>
      <c r="AE49" s="22" t="str">
        <f>IF(AND('Mapa final'!$Y$39="Muy Baja",'Mapa final'!$AA$39="Mayor"),CONCATENATE("R4C",'Mapa final'!$O$39),"")</f>
        <v/>
      </c>
      <c r="AF49" s="22" t="e">
        <f>IF(AND('Mapa final'!#REF!="Muy Baja",'Mapa final'!#REF!="Mayor"),CONCATENATE("R4C",'Mapa final'!#REF!),"")</f>
        <v>#REF!</v>
      </c>
      <c r="AG49" s="23" t="e">
        <f>IF(AND('Mapa final'!#REF!="Muy Baja",'Mapa final'!#REF!="Mayor"),CONCATENATE("R4C",'Mapa final'!#REF!),"")</f>
        <v>#REF!</v>
      </c>
      <c r="AH49" s="24" t="str">
        <f>IF(AND('Mapa final'!$Y$37="Muy Baja",'Mapa final'!$AA$37="Catastrófico"),CONCATENATE("R4C",'Mapa final'!$O$37),"")</f>
        <v/>
      </c>
      <c r="AI49" s="25" t="str">
        <f>IF(AND('Mapa final'!$Y$38="Muy Baja",'Mapa final'!$AA$38="Catastrófico"),CONCATENATE("R4C",'Mapa final'!$O$38),"")</f>
        <v/>
      </c>
      <c r="AJ49" s="25" t="e">
        <f>IF(AND('Mapa final'!#REF!="Muy Baja",'Mapa final'!#REF!="Catastrófico"),CONCATENATE("R4C",'Mapa final'!#REF!),"")</f>
        <v>#REF!</v>
      </c>
      <c r="AK49" s="25" t="str">
        <f>IF(AND('Mapa final'!$Y$39="Muy Baja",'Mapa final'!$AA$39="Catastrófico"),CONCATENATE("R4C",'Mapa final'!$O$39),"")</f>
        <v/>
      </c>
      <c r="AL49" s="25" t="e">
        <f>IF(AND('Mapa final'!#REF!="Muy Baja",'Mapa final'!#REF!="Catastrófico"),CONCATENATE("R4C",'Mapa final'!#REF!),"")</f>
        <v>#REF!</v>
      </c>
      <c r="AM49" s="26" t="e">
        <f>IF(AND('Mapa final'!#REF!="Muy Baja",'Mapa final'!#REF!="Catastrófico"),CONCATENATE("R4C",'Mapa final'!#REF!),"")</f>
        <v>#REF!</v>
      </c>
    </row>
    <row r="50" spans="2:39" ht="15" customHeight="1" x14ac:dyDescent="0.25">
      <c r="B50" s="263"/>
      <c r="C50" s="218"/>
      <c r="D50" s="219"/>
      <c r="E50" s="230"/>
      <c r="F50" s="218"/>
      <c r="G50" s="218"/>
      <c r="H50" s="218"/>
      <c r="I50" s="219"/>
      <c r="J50" s="45" t="str">
        <f>IF(AND('Mapa final'!$Y$44="Muy Baja",'Mapa final'!$AA$44="Leve"),CONCATENATE("R5C",'Mapa final'!$O$44),"")</f>
        <v/>
      </c>
      <c r="K50" s="46" t="str">
        <f>IF(AND('Mapa final'!$Y$45="Muy Baja",'Mapa final'!$AA$45="Leve"),CONCATENATE("R5C",'Mapa final'!$O$45),"")</f>
        <v>R5C2</v>
      </c>
      <c r="L50" s="46" t="str">
        <f>IF(AND('Mapa final'!$Y$46="Muy Baja",'Mapa final'!$AA$46="Leve"),CONCATENATE("R5C",'Mapa final'!$O$46),"")</f>
        <v/>
      </c>
      <c r="M50" s="46" t="e">
        <f>IF(AND('Mapa final'!#REF!="Muy Baja",'Mapa final'!#REF!="Leve"),CONCATENATE("R5C",'Mapa final'!#REF!),"")</f>
        <v>#REF!</v>
      </c>
      <c r="N50" s="46" t="e">
        <f>IF(AND('Mapa final'!#REF!="Muy Baja",'Mapa final'!#REF!="Leve"),CONCATENATE("R5C",'Mapa final'!#REF!),"")</f>
        <v>#REF!</v>
      </c>
      <c r="O50" s="47" t="e">
        <f>IF(AND('Mapa final'!#REF!="Muy Baja",'Mapa final'!#REF!="Leve"),CONCATENATE("R5C",'Mapa final'!#REF!),"")</f>
        <v>#REF!</v>
      </c>
      <c r="P50" s="45" t="str">
        <f>IF(AND('Mapa final'!$Y$44="Muy Baja",'Mapa final'!$AA$44="Menor"),CONCATENATE("R5C",'Mapa final'!$O$44),"")</f>
        <v/>
      </c>
      <c r="Q50" s="46" t="str">
        <f>IF(AND('Mapa final'!$Y$45="Muy Baja",'Mapa final'!$AA$45="Menor"),CONCATENATE("R5C",'Mapa final'!$O$45),"")</f>
        <v/>
      </c>
      <c r="R50" s="46" t="str">
        <f>IF(AND('Mapa final'!$Y$46="Muy Baja",'Mapa final'!$AA$46="Menor"),CONCATENATE("R5C",'Mapa final'!$O$46),"")</f>
        <v/>
      </c>
      <c r="S50" s="46" t="e">
        <f>IF(AND('Mapa final'!#REF!="Muy Baja",'Mapa final'!#REF!="Menor"),CONCATENATE("R5C",'Mapa final'!#REF!),"")</f>
        <v>#REF!</v>
      </c>
      <c r="T50" s="46" t="e">
        <f>IF(AND('Mapa final'!#REF!="Muy Baja",'Mapa final'!#REF!="Menor"),CONCATENATE("R5C",'Mapa final'!#REF!),"")</f>
        <v>#REF!</v>
      </c>
      <c r="U50" s="47" t="e">
        <f>IF(AND('Mapa final'!#REF!="Muy Baja",'Mapa final'!#REF!="Menor"),CONCATENATE("R5C",'Mapa final'!#REF!),"")</f>
        <v>#REF!</v>
      </c>
      <c r="V50" s="36" t="str">
        <f>IF(AND('Mapa final'!$Y$44="Muy Baja",'Mapa final'!$AA$44="Moderado"),CONCATENATE("R5C",'Mapa final'!$O$44),"")</f>
        <v/>
      </c>
      <c r="W50" s="37" t="str">
        <f>IF(AND('Mapa final'!$Y$45="Muy Baja",'Mapa final'!$AA$45="Moderado"),CONCATENATE("R5C",'Mapa final'!$O$45),"")</f>
        <v/>
      </c>
      <c r="X50" s="37" t="str">
        <f>IF(AND('Mapa final'!$Y$46="Muy Baja",'Mapa final'!$AA$46="Moderado"),CONCATENATE("R5C",'Mapa final'!$O$46),"")</f>
        <v/>
      </c>
      <c r="Y50" s="37" t="e">
        <f>IF(AND('Mapa final'!#REF!="Muy Baja",'Mapa final'!#REF!="Moderado"),CONCATENATE("R5C",'Mapa final'!#REF!),"")</f>
        <v>#REF!</v>
      </c>
      <c r="Z50" s="37" t="e">
        <f>IF(AND('Mapa final'!#REF!="Muy Baja",'Mapa final'!#REF!="Moderado"),CONCATENATE("R5C",'Mapa final'!#REF!),"")</f>
        <v>#REF!</v>
      </c>
      <c r="AA50" s="38" t="e">
        <f>IF(AND('Mapa final'!#REF!="Muy Baja",'Mapa final'!#REF!="Moderado"),CONCATENATE("R5C",'Mapa final'!#REF!),"")</f>
        <v>#REF!</v>
      </c>
      <c r="AB50" s="21" t="str">
        <f>IF(AND('Mapa final'!$Y$44="Muy Baja",'Mapa final'!$AA$44="Mayor"),CONCATENATE("R5C",'Mapa final'!$O$44),"")</f>
        <v/>
      </c>
      <c r="AC50" s="22" t="str">
        <f>IF(AND('Mapa final'!$Y$45="Muy Baja",'Mapa final'!$AA$45="Mayor"),CONCATENATE("R5C",'Mapa final'!$O$45),"")</f>
        <v/>
      </c>
      <c r="AD50" s="22" t="str">
        <f>IF(AND('Mapa final'!$Y$46="Muy Baja",'Mapa final'!$AA$46="Mayor"),CONCATENATE("R5C",'Mapa final'!$O$46),"")</f>
        <v/>
      </c>
      <c r="AE50" s="22" t="e">
        <f>IF(AND('Mapa final'!#REF!="Muy Baja",'Mapa final'!#REF!="Mayor"),CONCATENATE("R5C",'Mapa final'!#REF!),"")</f>
        <v>#REF!</v>
      </c>
      <c r="AF50" s="22" t="e">
        <f>IF(AND('Mapa final'!#REF!="Muy Baja",'Mapa final'!#REF!="Mayor"),CONCATENATE("R5C",'Mapa final'!#REF!),"")</f>
        <v>#REF!</v>
      </c>
      <c r="AG50" s="23" t="e">
        <f>IF(AND('Mapa final'!#REF!="Muy Baja",'Mapa final'!#REF!="Mayor"),CONCATENATE("R5C",'Mapa final'!#REF!),"")</f>
        <v>#REF!</v>
      </c>
      <c r="AH50" s="24" t="str">
        <f>IF(AND('Mapa final'!$Y$44="Muy Baja",'Mapa final'!$AA$44="Catastrófico"),CONCATENATE("R5C",'Mapa final'!$O$44),"")</f>
        <v/>
      </c>
      <c r="AI50" s="25" t="str">
        <f>IF(AND('Mapa final'!$Y$45="Muy Baja",'Mapa final'!$AA$45="Catastrófico"),CONCATENATE("R5C",'Mapa final'!$O$45),"")</f>
        <v/>
      </c>
      <c r="AJ50" s="25" t="str">
        <f>IF(AND('Mapa final'!$Y$46="Muy Baja",'Mapa final'!$AA$46="Catastrófico"),CONCATENATE("R5C",'Mapa final'!$O$46),"")</f>
        <v/>
      </c>
      <c r="AK50" s="25" t="e">
        <f>IF(AND('Mapa final'!#REF!="Muy Baja",'Mapa final'!#REF!="Catastrófico"),CONCATENATE("R5C",'Mapa final'!#REF!),"")</f>
        <v>#REF!</v>
      </c>
      <c r="AL50" s="25" t="e">
        <f>IF(AND('Mapa final'!#REF!="Muy Baja",'Mapa final'!#REF!="Catastrófico"),CONCATENATE("R5C",'Mapa final'!#REF!),"")</f>
        <v>#REF!</v>
      </c>
      <c r="AM50" s="26" t="e">
        <f>IF(AND('Mapa final'!#REF!="Muy Baja",'Mapa final'!#REF!="Catastrófico"),CONCATENATE("R5C",'Mapa final'!#REF!),"")</f>
        <v>#REF!</v>
      </c>
    </row>
    <row r="51" spans="2:39" ht="15" customHeight="1" x14ac:dyDescent="0.25">
      <c r="B51" s="263"/>
      <c r="C51" s="218"/>
      <c r="D51" s="219"/>
      <c r="E51" s="230"/>
      <c r="F51" s="218"/>
      <c r="G51" s="218"/>
      <c r="H51" s="218"/>
      <c r="I51" s="219"/>
      <c r="J51" s="45" t="str">
        <f>IF(AND('Mapa final'!$Y$51="Muy Baja",'Mapa final'!$AA$51="Leve"),CONCATENATE("R6C",'Mapa final'!$O$51),"")</f>
        <v/>
      </c>
      <c r="K51" s="46" t="str">
        <f>IF(AND('Mapa final'!$Y$52="Muy Baja",'Mapa final'!$AA$52="Leve"),CONCATENATE("R6C",'Mapa final'!$O$52),"")</f>
        <v/>
      </c>
      <c r="L51" s="46" t="str">
        <f>IF(AND('Mapa final'!$Y$53="Muy Baja",'Mapa final'!$AA$53="Leve"),CONCATENATE("R6C",'Mapa final'!$O$53),"")</f>
        <v/>
      </c>
      <c r="M51" s="46" t="e">
        <f>IF(AND('Mapa final'!#REF!="Muy Baja",'Mapa final'!#REF!="Leve"),CONCATENATE("R6C",'Mapa final'!#REF!),"")</f>
        <v>#REF!</v>
      </c>
      <c r="N51" s="46" t="e">
        <f>IF(AND('Mapa final'!#REF!="Muy Baja",'Mapa final'!#REF!="Leve"),CONCATENATE("R6C",'Mapa final'!#REF!),"")</f>
        <v>#REF!</v>
      </c>
      <c r="O51" s="47" t="e">
        <f>IF(AND('Mapa final'!#REF!="Muy Baja",'Mapa final'!#REF!="Leve"),CONCATENATE("R6C",'Mapa final'!#REF!),"")</f>
        <v>#REF!</v>
      </c>
      <c r="P51" s="45" t="str">
        <f>IF(AND('Mapa final'!$Y$51="Muy Baja",'Mapa final'!$AA$51="Menor"),CONCATENATE("R6C",'Mapa final'!$O$51),"")</f>
        <v/>
      </c>
      <c r="Q51" s="46" t="str">
        <f>IF(AND('Mapa final'!$Y$52="Muy Baja",'Mapa final'!$AA$52="Menor"),CONCATENATE("R6C",'Mapa final'!$O$52),"")</f>
        <v/>
      </c>
      <c r="R51" s="46" t="str">
        <f>IF(AND('Mapa final'!$Y$53="Muy Baja",'Mapa final'!$AA$53="Menor"),CONCATENATE("R6C",'Mapa final'!$O$53),"")</f>
        <v/>
      </c>
      <c r="S51" s="46" t="e">
        <f>IF(AND('Mapa final'!#REF!="Muy Baja",'Mapa final'!#REF!="Menor"),CONCATENATE("R6C",'Mapa final'!#REF!),"")</f>
        <v>#REF!</v>
      </c>
      <c r="T51" s="46" t="e">
        <f>IF(AND('Mapa final'!#REF!="Muy Baja",'Mapa final'!#REF!="Menor"),CONCATENATE("R6C",'Mapa final'!#REF!),"")</f>
        <v>#REF!</v>
      </c>
      <c r="U51" s="47" t="e">
        <f>IF(AND('Mapa final'!#REF!="Muy Baja",'Mapa final'!#REF!="Menor"),CONCATENATE("R6C",'Mapa final'!#REF!),"")</f>
        <v>#REF!</v>
      </c>
      <c r="V51" s="36" t="str">
        <f>IF(AND('Mapa final'!$Y$51="Muy Baja",'Mapa final'!$AA$51="Moderado"),CONCATENATE("R6C",'Mapa final'!$O$51),"")</f>
        <v/>
      </c>
      <c r="W51" s="37" t="str">
        <f>IF(AND('Mapa final'!$Y$52="Muy Baja",'Mapa final'!$AA$52="Moderado"),CONCATENATE("R6C",'Mapa final'!$O$52),"")</f>
        <v/>
      </c>
      <c r="X51" s="37" t="str">
        <f>IF(AND('Mapa final'!$Y$53="Muy Baja",'Mapa final'!$AA$53="Moderado"),CONCATENATE("R6C",'Mapa final'!$O$53),"")</f>
        <v/>
      </c>
      <c r="Y51" s="37" t="e">
        <f>IF(AND('Mapa final'!#REF!="Muy Baja",'Mapa final'!#REF!="Moderado"),CONCATENATE("R6C",'Mapa final'!#REF!),"")</f>
        <v>#REF!</v>
      </c>
      <c r="Z51" s="37" t="e">
        <f>IF(AND('Mapa final'!#REF!="Muy Baja",'Mapa final'!#REF!="Moderado"),CONCATENATE("R6C",'Mapa final'!#REF!),"")</f>
        <v>#REF!</v>
      </c>
      <c r="AA51" s="38" t="e">
        <f>IF(AND('Mapa final'!#REF!="Muy Baja",'Mapa final'!#REF!="Moderado"),CONCATENATE("R6C",'Mapa final'!#REF!),"")</f>
        <v>#REF!</v>
      </c>
      <c r="AB51" s="21" t="str">
        <f>IF(AND('Mapa final'!$Y$51="Muy Baja",'Mapa final'!$AA$51="Mayor"),CONCATENATE("R6C",'Mapa final'!$O$51),"")</f>
        <v/>
      </c>
      <c r="AC51" s="22" t="str">
        <f>IF(AND('Mapa final'!$Y$52="Muy Baja",'Mapa final'!$AA$52="Mayor"),CONCATENATE("R6C",'Mapa final'!$O$52),"")</f>
        <v/>
      </c>
      <c r="AD51" s="22" t="str">
        <f>IF(AND('Mapa final'!$Y$53="Muy Baja",'Mapa final'!$AA$53="Mayor"),CONCATENATE("R6C",'Mapa final'!$O$53),"")</f>
        <v/>
      </c>
      <c r="AE51" s="22" t="e">
        <f>IF(AND('Mapa final'!#REF!="Muy Baja",'Mapa final'!#REF!="Mayor"),CONCATENATE("R6C",'Mapa final'!#REF!),"")</f>
        <v>#REF!</v>
      </c>
      <c r="AF51" s="22" t="e">
        <f>IF(AND('Mapa final'!#REF!="Muy Baja",'Mapa final'!#REF!="Mayor"),CONCATENATE("R6C",'Mapa final'!#REF!),"")</f>
        <v>#REF!</v>
      </c>
      <c r="AG51" s="23" t="e">
        <f>IF(AND('Mapa final'!#REF!="Muy Baja",'Mapa final'!#REF!="Mayor"),CONCATENATE("R6C",'Mapa final'!#REF!),"")</f>
        <v>#REF!</v>
      </c>
      <c r="AH51" s="24" t="str">
        <f>IF(AND('Mapa final'!$Y$51="Muy Baja",'Mapa final'!$AA$51="Catastrófico"),CONCATENATE("R6C",'Mapa final'!$O$51),"")</f>
        <v/>
      </c>
      <c r="AI51" s="25" t="str">
        <f>IF(AND('Mapa final'!$Y$52="Muy Baja",'Mapa final'!$AA$52="Catastrófico"),CONCATENATE("R6C",'Mapa final'!$O$52),"")</f>
        <v/>
      </c>
      <c r="AJ51" s="25" t="str">
        <f>IF(AND('Mapa final'!$Y$53="Muy Baja",'Mapa final'!$AA$53="Catastrófico"),CONCATENATE("R6C",'Mapa final'!$O$53),"")</f>
        <v/>
      </c>
      <c r="AK51" s="25" t="e">
        <f>IF(AND('Mapa final'!#REF!="Muy Baja",'Mapa final'!#REF!="Catastrófico"),CONCATENATE("R6C",'Mapa final'!#REF!),"")</f>
        <v>#REF!</v>
      </c>
      <c r="AL51" s="25" t="e">
        <f>IF(AND('Mapa final'!#REF!="Muy Baja",'Mapa final'!#REF!="Catastrófico"),CONCATENATE("R6C",'Mapa final'!#REF!),"")</f>
        <v>#REF!</v>
      </c>
      <c r="AM51" s="26" t="e">
        <f>IF(AND('Mapa final'!#REF!="Muy Baja",'Mapa final'!#REF!="Catastrófico"),CONCATENATE("R6C",'Mapa final'!#REF!),"")</f>
        <v>#REF!</v>
      </c>
    </row>
    <row r="52" spans="2:39" ht="15" customHeight="1" x14ac:dyDescent="0.25">
      <c r="B52" s="263"/>
      <c r="C52" s="218"/>
      <c r="D52" s="219"/>
      <c r="E52" s="230"/>
      <c r="F52" s="218"/>
      <c r="G52" s="218"/>
      <c r="H52" s="218"/>
      <c r="I52" s="219"/>
      <c r="J52" s="45" t="e">
        <f>IF(AND('Mapa final'!#REF!="Muy Baja",'Mapa final'!#REF!="Leve"),CONCATENATE("R7C",'Mapa final'!#REF!),"")</f>
        <v>#REF!</v>
      </c>
      <c r="K52" s="46" t="e">
        <f>IF(AND('Mapa final'!#REF!="Muy Baja",'Mapa final'!#REF!="Leve"),CONCATENATE("R7C",'Mapa final'!#REF!),"")</f>
        <v>#REF!</v>
      </c>
      <c r="L52" s="46" t="e">
        <f>IF(AND('Mapa final'!#REF!="Muy Baja",'Mapa final'!#REF!="Leve"),CONCATENATE("R7C",'Mapa final'!#REF!),"")</f>
        <v>#REF!</v>
      </c>
      <c r="M52" s="46" t="e">
        <f>IF(AND('Mapa final'!#REF!="Muy Baja",'Mapa final'!#REF!="Leve"),CONCATENATE("R7C",'Mapa final'!#REF!),"")</f>
        <v>#REF!</v>
      </c>
      <c r="N52" s="46" t="e">
        <f>IF(AND('Mapa final'!#REF!="Muy Baja",'Mapa final'!#REF!="Leve"),CONCATENATE("R7C",'Mapa final'!#REF!),"")</f>
        <v>#REF!</v>
      </c>
      <c r="O52" s="47" t="e">
        <f>IF(AND('Mapa final'!#REF!="Muy Baja",'Mapa final'!#REF!="Leve"),CONCATENATE("R7C",'Mapa final'!#REF!),"")</f>
        <v>#REF!</v>
      </c>
      <c r="P52" s="45" t="e">
        <f>IF(AND('Mapa final'!#REF!="Muy Baja",'Mapa final'!#REF!="Menor"),CONCATENATE("R7C",'Mapa final'!#REF!),"")</f>
        <v>#REF!</v>
      </c>
      <c r="Q52" s="46" t="e">
        <f>IF(AND('Mapa final'!#REF!="Muy Baja",'Mapa final'!#REF!="Menor"),CONCATENATE("R7C",'Mapa final'!#REF!),"")</f>
        <v>#REF!</v>
      </c>
      <c r="R52" s="46" t="e">
        <f>IF(AND('Mapa final'!#REF!="Muy Baja",'Mapa final'!#REF!="Menor"),CONCATENATE("R7C",'Mapa final'!#REF!),"")</f>
        <v>#REF!</v>
      </c>
      <c r="S52" s="46" t="e">
        <f>IF(AND('Mapa final'!#REF!="Muy Baja",'Mapa final'!#REF!="Menor"),CONCATENATE("R7C",'Mapa final'!#REF!),"")</f>
        <v>#REF!</v>
      </c>
      <c r="T52" s="46" t="e">
        <f>IF(AND('Mapa final'!#REF!="Muy Baja",'Mapa final'!#REF!="Menor"),CONCATENATE("R7C",'Mapa final'!#REF!),"")</f>
        <v>#REF!</v>
      </c>
      <c r="U52" s="47" t="e">
        <f>IF(AND('Mapa final'!#REF!="Muy Baja",'Mapa final'!#REF!="Menor"),CONCATENATE("R7C",'Mapa final'!#REF!),"")</f>
        <v>#REF!</v>
      </c>
      <c r="V52" s="36" t="e">
        <f>IF(AND('Mapa final'!#REF!="Muy Baja",'Mapa final'!#REF!="Moderado"),CONCATENATE("R7C",'Mapa final'!#REF!),"")</f>
        <v>#REF!</v>
      </c>
      <c r="W52" s="37" t="e">
        <f>IF(AND('Mapa final'!#REF!="Muy Baja",'Mapa final'!#REF!="Moderado"),CONCATENATE("R7C",'Mapa final'!#REF!),"")</f>
        <v>#REF!</v>
      </c>
      <c r="X52" s="37" t="e">
        <f>IF(AND('Mapa final'!#REF!="Muy Baja",'Mapa final'!#REF!="Moderado"),CONCATENATE("R7C",'Mapa final'!#REF!),"")</f>
        <v>#REF!</v>
      </c>
      <c r="Y52" s="37" t="e">
        <f>IF(AND('Mapa final'!#REF!="Muy Baja",'Mapa final'!#REF!="Moderado"),CONCATENATE("R7C",'Mapa final'!#REF!),"")</f>
        <v>#REF!</v>
      </c>
      <c r="Z52" s="37" t="e">
        <f>IF(AND('Mapa final'!#REF!="Muy Baja",'Mapa final'!#REF!="Moderado"),CONCATENATE("R7C",'Mapa final'!#REF!),"")</f>
        <v>#REF!</v>
      </c>
      <c r="AA52" s="38" t="e">
        <f>IF(AND('Mapa final'!#REF!="Muy Baja",'Mapa final'!#REF!="Moderado"),CONCATENATE("R7C",'Mapa final'!#REF!),"")</f>
        <v>#REF!</v>
      </c>
      <c r="AB52" s="21" t="e">
        <f>IF(AND('Mapa final'!#REF!="Muy Baja",'Mapa final'!#REF!="Mayor"),CONCATENATE("R7C",'Mapa final'!#REF!),"")</f>
        <v>#REF!</v>
      </c>
      <c r="AC52" s="22" t="e">
        <f>IF(AND('Mapa final'!#REF!="Muy Baja",'Mapa final'!#REF!="Mayor"),CONCATENATE("R7C",'Mapa final'!#REF!),"")</f>
        <v>#REF!</v>
      </c>
      <c r="AD52" s="22" t="e">
        <f>IF(AND('Mapa final'!#REF!="Muy Baja",'Mapa final'!#REF!="Mayor"),CONCATENATE("R7C",'Mapa final'!#REF!),"")</f>
        <v>#REF!</v>
      </c>
      <c r="AE52" s="22" t="e">
        <f>IF(AND('Mapa final'!#REF!="Muy Baja",'Mapa final'!#REF!="Mayor"),CONCATENATE("R7C",'Mapa final'!#REF!),"")</f>
        <v>#REF!</v>
      </c>
      <c r="AF52" s="22" t="e">
        <f>IF(AND('Mapa final'!#REF!="Muy Baja",'Mapa final'!#REF!="Mayor"),CONCATENATE("R7C",'Mapa final'!#REF!),"")</f>
        <v>#REF!</v>
      </c>
      <c r="AG52" s="23" t="e">
        <f>IF(AND('Mapa final'!#REF!="Muy Baja",'Mapa final'!#REF!="Mayor"),CONCATENATE("R7C",'Mapa final'!#REF!),"")</f>
        <v>#REF!</v>
      </c>
      <c r="AH52" s="24" t="e">
        <f>IF(AND('Mapa final'!#REF!="Muy Baja",'Mapa final'!#REF!="Catastrófico"),CONCATENATE("R7C",'Mapa final'!#REF!),"")</f>
        <v>#REF!</v>
      </c>
      <c r="AI52" s="25" t="e">
        <f>IF(AND('Mapa final'!#REF!="Muy Baja",'Mapa final'!#REF!="Catastrófico"),CONCATENATE("R7C",'Mapa final'!#REF!),"")</f>
        <v>#REF!</v>
      </c>
      <c r="AJ52" s="25" t="e">
        <f>IF(AND('Mapa final'!#REF!="Muy Baja",'Mapa final'!#REF!="Catastrófico"),CONCATENATE("R7C",'Mapa final'!#REF!),"")</f>
        <v>#REF!</v>
      </c>
      <c r="AK52" s="25" t="e">
        <f>IF(AND('Mapa final'!#REF!="Muy Baja",'Mapa final'!#REF!="Catastrófico"),CONCATENATE("R7C",'Mapa final'!#REF!),"")</f>
        <v>#REF!</v>
      </c>
      <c r="AL52" s="25" t="e">
        <f>IF(AND('Mapa final'!#REF!="Muy Baja",'Mapa final'!#REF!="Catastrófico"),CONCATENATE("R7C",'Mapa final'!#REF!),"")</f>
        <v>#REF!</v>
      </c>
      <c r="AM52" s="26" t="e">
        <f>IF(AND('Mapa final'!#REF!="Muy Baja",'Mapa final'!#REF!="Catastrófico"),CONCATENATE("R7C",'Mapa final'!#REF!),"")</f>
        <v>#REF!</v>
      </c>
    </row>
    <row r="53" spans="2:39" ht="15" customHeight="1" x14ac:dyDescent="0.25">
      <c r="B53" s="263"/>
      <c r="C53" s="218"/>
      <c r="D53" s="219"/>
      <c r="E53" s="230"/>
      <c r="F53" s="218"/>
      <c r="G53" s="218"/>
      <c r="H53" s="218"/>
      <c r="I53" s="219"/>
      <c r="J53" s="45" t="e">
        <f>IF(AND('Mapa final'!#REF!="Muy Baja",'Mapa final'!#REF!="Leve"),CONCATENATE("R8C",'Mapa final'!#REF!),"")</f>
        <v>#REF!</v>
      </c>
      <c r="K53" s="46" t="e">
        <f>IF(AND('Mapa final'!#REF!="Muy Baja",'Mapa final'!#REF!="Leve"),CONCATENATE("R8C",'Mapa final'!#REF!),"")</f>
        <v>#REF!</v>
      </c>
      <c r="L53" s="46" t="e">
        <f>IF(AND('Mapa final'!#REF!="Muy Baja",'Mapa final'!#REF!="Leve"),CONCATENATE("R8C",'Mapa final'!#REF!),"")</f>
        <v>#REF!</v>
      </c>
      <c r="M53" s="46" t="e">
        <f>IF(AND('Mapa final'!#REF!="Muy Baja",'Mapa final'!#REF!="Leve"),CONCATENATE("R8C",'Mapa final'!#REF!),"")</f>
        <v>#REF!</v>
      </c>
      <c r="N53" s="46" t="e">
        <f>IF(AND('Mapa final'!#REF!="Muy Baja",'Mapa final'!#REF!="Leve"),CONCATENATE("R8C",'Mapa final'!#REF!),"")</f>
        <v>#REF!</v>
      </c>
      <c r="O53" s="47" t="e">
        <f>IF(AND('Mapa final'!#REF!="Muy Baja",'Mapa final'!#REF!="Leve"),CONCATENATE("R8C",'Mapa final'!#REF!),"")</f>
        <v>#REF!</v>
      </c>
      <c r="P53" s="45" t="e">
        <f>IF(AND('Mapa final'!#REF!="Muy Baja",'Mapa final'!#REF!="Menor"),CONCATENATE("R8C",'Mapa final'!#REF!),"")</f>
        <v>#REF!</v>
      </c>
      <c r="Q53" s="46" t="e">
        <f>IF(AND('Mapa final'!#REF!="Muy Baja",'Mapa final'!#REF!="Menor"),CONCATENATE("R8C",'Mapa final'!#REF!),"")</f>
        <v>#REF!</v>
      </c>
      <c r="R53" s="46" t="e">
        <f>IF(AND('Mapa final'!#REF!="Muy Baja",'Mapa final'!#REF!="Menor"),CONCATENATE("R8C",'Mapa final'!#REF!),"")</f>
        <v>#REF!</v>
      </c>
      <c r="S53" s="46" t="e">
        <f>IF(AND('Mapa final'!#REF!="Muy Baja",'Mapa final'!#REF!="Menor"),CONCATENATE("R8C",'Mapa final'!#REF!),"")</f>
        <v>#REF!</v>
      </c>
      <c r="T53" s="46" t="e">
        <f>IF(AND('Mapa final'!#REF!="Muy Baja",'Mapa final'!#REF!="Menor"),CONCATENATE("R8C",'Mapa final'!#REF!),"")</f>
        <v>#REF!</v>
      </c>
      <c r="U53" s="47" t="e">
        <f>IF(AND('Mapa final'!#REF!="Muy Baja",'Mapa final'!#REF!="Menor"),CONCATENATE("R8C",'Mapa final'!#REF!),"")</f>
        <v>#REF!</v>
      </c>
      <c r="V53" s="36" t="e">
        <f>IF(AND('Mapa final'!#REF!="Muy Baja",'Mapa final'!#REF!="Moderado"),CONCATENATE("R8C",'Mapa final'!#REF!),"")</f>
        <v>#REF!</v>
      </c>
      <c r="W53" s="37" t="e">
        <f>IF(AND('Mapa final'!#REF!="Muy Baja",'Mapa final'!#REF!="Moderado"),CONCATENATE("R8C",'Mapa final'!#REF!),"")</f>
        <v>#REF!</v>
      </c>
      <c r="X53" s="37" t="e">
        <f>IF(AND('Mapa final'!#REF!="Muy Baja",'Mapa final'!#REF!="Moderado"),CONCATENATE("R8C",'Mapa final'!#REF!),"")</f>
        <v>#REF!</v>
      </c>
      <c r="Y53" s="37" t="e">
        <f>IF(AND('Mapa final'!#REF!="Muy Baja",'Mapa final'!#REF!="Moderado"),CONCATENATE("R8C",'Mapa final'!#REF!),"")</f>
        <v>#REF!</v>
      </c>
      <c r="Z53" s="37" t="e">
        <f>IF(AND('Mapa final'!#REF!="Muy Baja",'Mapa final'!#REF!="Moderado"),CONCATENATE("R8C",'Mapa final'!#REF!),"")</f>
        <v>#REF!</v>
      </c>
      <c r="AA53" s="38" t="e">
        <f>IF(AND('Mapa final'!#REF!="Muy Baja",'Mapa final'!#REF!="Moderado"),CONCATENATE("R8C",'Mapa final'!#REF!),"")</f>
        <v>#REF!</v>
      </c>
      <c r="AB53" s="21" t="e">
        <f>IF(AND('Mapa final'!#REF!="Muy Baja",'Mapa final'!#REF!="Mayor"),CONCATENATE("R8C",'Mapa final'!#REF!),"")</f>
        <v>#REF!</v>
      </c>
      <c r="AC53" s="22" t="e">
        <f>IF(AND('Mapa final'!#REF!="Muy Baja",'Mapa final'!#REF!="Mayor"),CONCATENATE("R8C",'Mapa final'!#REF!),"")</f>
        <v>#REF!</v>
      </c>
      <c r="AD53" s="22" t="e">
        <f>IF(AND('Mapa final'!#REF!="Muy Baja",'Mapa final'!#REF!="Mayor"),CONCATENATE("R8C",'Mapa final'!#REF!),"")</f>
        <v>#REF!</v>
      </c>
      <c r="AE53" s="22" t="e">
        <f>IF(AND('Mapa final'!#REF!="Muy Baja",'Mapa final'!#REF!="Mayor"),CONCATENATE("R8C",'Mapa final'!#REF!),"")</f>
        <v>#REF!</v>
      </c>
      <c r="AF53" s="22" t="e">
        <f>IF(AND('Mapa final'!#REF!="Muy Baja",'Mapa final'!#REF!="Mayor"),CONCATENATE("R8C",'Mapa final'!#REF!),"")</f>
        <v>#REF!</v>
      </c>
      <c r="AG53" s="23" t="e">
        <f>IF(AND('Mapa final'!#REF!="Muy Baja",'Mapa final'!#REF!="Mayor"),CONCATENATE("R8C",'Mapa final'!#REF!),"")</f>
        <v>#REF!</v>
      </c>
      <c r="AH53" s="24" t="e">
        <f>IF(AND('Mapa final'!#REF!="Muy Baja",'Mapa final'!#REF!="Catastrófico"),CONCATENATE("R8C",'Mapa final'!#REF!),"")</f>
        <v>#REF!</v>
      </c>
      <c r="AI53" s="25" t="e">
        <f>IF(AND('Mapa final'!#REF!="Muy Baja",'Mapa final'!#REF!="Catastrófico"),CONCATENATE("R8C",'Mapa final'!#REF!),"")</f>
        <v>#REF!</v>
      </c>
      <c r="AJ53" s="25" t="e">
        <f>IF(AND('Mapa final'!#REF!="Muy Baja",'Mapa final'!#REF!="Catastrófico"),CONCATENATE("R8C",'Mapa final'!#REF!),"")</f>
        <v>#REF!</v>
      </c>
      <c r="AK53" s="25" t="e">
        <f>IF(AND('Mapa final'!#REF!="Muy Baja",'Mapa final'!#REF!="Catastrófico"),CONCATENATE("R8C",'Mapa final'!#REF!),"")</f>
        <v>#REF!</v>
      </c>
      <c r="AL53" s="25" t="e">
        <f>IF(AND('Mapa final'!#REF!="Muy Baja",'Mapa final'!#REF!="Catastrófico"),CONCATENATE("R8C",'Mapa final'!#REF!),"")</f>
        <v>#REF!</v>
      </c>
      <c r="AM53" s="26" t="e">
        <f>IF(AND('Mapa final'!#REF!="Muy Baja",'Mapa final'!#REF!="Catastrófico"),CONCATENATE("R8C",'Mapa final'!#REF!),"")</f>
        <v>#REF!</v>
      </c>
    </row>
    <row r="54" spans="2:39" ht="15" customHeight="1" x14ac:dyDescent="0.25">
      <c r="B54" s="263"/>
      <c r="C54" s="218"/>
      <c r="D54" s="219"/>
      <c r="E54" s="230"/>
      <c r="F54" s="218"/>
      <c r="G54" s="218"/>
      <c r="H54" s="218"/>
      <c r="I54" s="219"/>
      <c r="J54" s="45" t="e">
        <f>IF(AND('Mapa final'!#REF!="Muy Baja",'Mapa final'!#REF!="Leve"),CONCATENATE("R9C",'Mapa final'!#REF!),"")</f>
        <v>#REF!</v>
      </c>
      <c r="K54" s="46" t="e">
        <f>IF(AND('Mapa final'!#REF!="Muy Baja",'Mapa final'!#REF!="Leve"),CONCATENATE("R9C",'Mapa final'!#REF!),"")</f>
        <v>#REF!</v>
      </c>
      <c r="L54" s="46" t="e">
        <f>IF(AND('Mapa final'!#REF!="Muy Baja",'Mapa final'!#REF!="Leve"),CONCATENATE("R9C",'Mapa final'!#REF!),"")</f>
        <v>#REF!</v>
      </c>
      <c r="M54" s="46" t="e">
        <f>IF(AND('Mapa final'!#REF!="Muy Baja",'Mapa final'!#REF!="Leve"),CONCATENATE("R9C",'Mapa final'!#REF!),"")</f>
        <v>#REF!</v>
      </c>
      <c r="N54" s="46" t="e">
        <f>IF(AND('Mapa final'!#REF!="Muy Baja",'Mapa final'!#REF!="Leve"),CONCATENATE("R9C",'Mapa final'!#REF!),"")</f>
        <v>#REF!</v>
      </c>
      <c r="O54" s="47" t="e">
        <f>IF(AND('Mapa final'!#REF!="Muy Baja",'Mapa final'!#REF!="Leve"),CONCATENATE("R9C",'Mapa final'!#REF!),"")</f>
        <v>#REF!</v>
      </c>
      <c r="P54" s="45" t="e">
        <f>IF(AND('Mapa final'!#REF!="Muy Baja",'Mapa final'!#REF!="Menor"),CONCATENATE("R9C",'Mapa final'!#REF!),"")</f>
        <v>#REF!</v>
      </c>
      <c r="Q54" s="46" t="e">
        <f>IF(AND('Mapa final'!#REF!="Muy Baja",'Mapa final'!#REF!="Menor"),CONCATENATE("R9C",'Mapa final'!#REF!),"")</f>
        <v>#REF!</v>
      </c>
      <c r="R54" s="46" t="e">
        <f>IF(AND('Mapa final'!#REF!="Muy Baja",'Mapa final'!#REF!="Menor"),CONCATENATE("R9C",'Mapa final'!#REF!),"")</f>
        <v>#REF!</v>
      </c>
      <c r="S54" s="46" t="e">
        <f>IF(AND('Mapa final'!#REF!="Muy Baja",'Mapa final'!#REF!="Menor"),CONCATENATE("R9C",'Mapa final'!#REF!),"")</f>
        <v>#REF!</v>
      </c>
      <c r="T54" s="46" t="e">
        <f>IF(AND('Mapa final'!#REF!="Muy Baja",'Mapa final'!#REF!="Menor"),CONCATENATE("R9C",'Mapa final'!#REF!),"")</f>
        <v>#REF!</v>
      </c>
      <c r="U54" s="47" t="e">
        <f>IF(AND('Mapa final'!#REF!="Muy Baja",'Mapa final'!#REF!="Menor"),CONCATENATE("R9C",'Mapa final'!#REF!),"")</f>
        <v>#REF!</v>
      </c>
      <c r="V54" s="36" t="e">
        <f>IF(AND('Mapa final'!#REF!="Muy Baja",'Mapa final'!#REF!="Moderado"),CONCATENATE("R9C",'Mapa final'!#REF!),"")</f>
        <v>#REF!</v>
      </c>
      <c r="W54" s="37" t="e">
        <f>IF(AND('Mapa final'!#REF!="Muy Baja",'Mapa final'!#REF!="Moderado"),CONCATENATE("R9C",'Mapa final'!#REF!),"")</f>
        <v>#REF!</v>
      </c>
      <c r="X54" s="37" t="e">
        <f>IF(AND('Mapa final'!#REF!="Muy Baja",'Mapa final'!#REF!="Moderado"),CONCATENATE("R9C",'Mapa final'!#REF!),"")</f>
        <v>#REF!</v>
      </c>
      <c r="Y54" s="37" t="e">
        <f>IF(AND('Mapa final'!#REF!="Muy Baja",'Mapa final'!#REF!="Moderado"),CONCATENATE("R9C",'Mapa final'!#REF!),"")</f>
        <v>#REF!</v>
      </c>
      <c r="Z54" s="37" t="e">
        <f>IF(AND('Mapa final'!#REF!="Muy Baja",'Mapa final'!#REF!="Moderado"),CONCATENATE("R9C",'Mapa final'!#REF!),"")</f>
        <v>#REF!</v>
      </c>
      <c r="AA54" s="38" t="e">
        <f>IF(AND('Mapa final'!#REF!="Muy Baja",'Mapa final'!#REF!="Moderado"),CONCATENATE("R9C",'Mapa final'!#REF!),"")</f>
        <v>#REF!</v>
      </c>
      <c r="AB54" s="21" t="e">
        <f>IF(AND('Mapa final'!#REF!="Muy Baja",'Mapa final'!#REF!="Mayor"),CONCATENATE("R9C",'Mapa final'!#REF!),"")</f>
        <v>#REF!</v>
      </c>
      <c r="AC54" s="22" t="e">
        <f>IF(AND('Mapa final'!#REF!="Muy Baja",'Mapa final'!#REF!="Mayor"),CONCATENATE("R9C",'Mapa final'!#REF!),"")</f>
        <v>#REF!</v>
      </c>
      <c r="AD54" s="22" t="e">
        <f>IF(AND('Mapa final'!#REF!="Muy Baja",'Mapa final'!#REF!="Mayor"),CONCATENATE("R9C",'Mapa final'!#REF!),"")</f>
        <v>#REF!</v>
      </c>
      <c r="AE54" s="22" t="e">
        <f>IF(AND('Mapa final'!#REF!="Muy Baja",'Mapa final'!#REF!="Mayor"),CONCATENATE("R9C",'Mapa final'!#REF!),"")</f>
        <v>#REF!</v>
      </c>
      <c r="AF54" s="22" t="e">
        <f>IF(AND('Mapa final'!#REF!="Muy Baja",'Mapa final'!#REF!="Mayor"),CONCATENATE("R9C",'Mapa final'!#REF!),"")</f>
        <v>#REF!</v>
      </c>
      <c r="AG54" s="23" t="e">
        <f>IF(AND('Mapa final'!#REF!="Muy Baja",'Mapa final'!#REF!="Mayor"),CONCATENATE("R9C",'Mapa final'!#REF!),"")</f>
        <v>#REF!</v>
      </c>
      <c r="AH54" s="24" t="e">
        <f>IF(AND('Mapa final'!#REF!="Muy Baja",'Mapa final'!#REF!="Catastrófico"),CONCATENATE("R9C",'Mapa final'!#REF!),"")</f>
        <v>#REF!</v>
      </c>
      <c r="AI54" s="25" t="e">
        <f>IF(AND('Mapa final'!#REF!="Muy Baja",'Mapa final'!#REF!="Catastrófico"),CONCATENATE("R9C",'Mapa final'!#REF!),"")</f>
        <v>#REF!</v>
      </c>
      <c r="AJ54" s="25" t="e">
        <f>IF(AND('Mapa final'!#REF!="Muy Baja",'Mapa final'!#REF!="Catastrófico"),CONCATENATE("R9C",'Mapa final'!#REF!),"")</f>
        <v>#REF!</v>
      </c>
      <c r="AK54" s="25" t="e">
        <f>IF(AND('Mapa final'!#REF!="Muy Baja",'Mapa final'!#REF!="Catastrófico"),CONCATENATE("R9C",'Mapa final'!#REF!),"")</f>
        <v>#REF!</v>
      </c>
      <c r="AL54" s="25" t="e">
        <f>IF(AND('Mapa final'!#REF!="Muy Baja",'Mapa final'!#REF!="Catastrófico"),CONCATENATE("R9C",'Mapa final'!#REF!),"")</f>
        <v>#REF!</v>
      </c>
      <c r="AM54" s="26" t="e">
        <f>IF(AND('Mapa final'!#REF!="Muy Baja",'Mapa final'!#REF!="Catastrófico"),CONCATENATE("R9C",'Mapa final'!#REF!),"")</f>
        <v>#REF!</v>
      </c>
    </row>
    <row r="55" spans="2:39" ht="15.75" customHeight="1" x14ac:dyDescent="0.25">
      <c r="B55" s="233"/>
      <c r="C55" s="265"/>
      <c r="D55" s="234"/>
      <c r="E55" s="253"/>
      <c r="F55" s="254"/>
      <c r="G55" s="254"/>
      <c r="H55" s="254"/>
      <c r="I55" s="257"/>
      <c r="J55" s="48" t="e">
        <f>IF(AND('Mapa final'!#REF!="Muy Baja",'Mapa final'!#REF!="Leve"),CONCATENATE("R10C",'Mapa final'!#REF!),"")</f>
        <v>#REF!</v>
      </c>
      <c r="K55" s="49" t="e">
        <f>IF(AND('Mapa final'!#REF!="Muy Baja",'Mapa final'!#REF!="Leve"),CONCATENATE("R10C",'Mapa final'!#REF!),"")</f>
        <v>#REF!</v>
      </c>
      <c r="L55" s="49" t="e">
        <f>IF(AND('Mapa final'!#REF!="Muy Baja",'Mapa final'!#REF!="Leve"),CONCATENATE("R10C",'Mapa final'!#REF!),"")</f>
        <v>#REF!</v>
      </c>
      <c r="M55" s="49" t="e">
        <f>IF(AND('Mapa final'!#REF!="Muy Baja",'Mapa final'!#REF!="Leve"),CONCATENATE("R10C",'Mapa final'!#REF!),"")</f>
        <v>#REF!</v>
      </c>
      <c r="N55" s="49" t="e">
        <f>IF(AND('Mapa final'!#REF!="Muy Baja",'Mapa final'!#REF!="Leve"),CONCATENATE("R10C",'Mapa final'!#REF!),"")</f>
        <v>#REF!</v>
      </c>
      <c r="O55" s="50" t="e">
        <f>IF(AND('Mapa final'!#REF!="Muy Baja",'Mapa final'!#REF!="Leve"),CONCATENATE("R10C",'Mapa final'!#REF!),"")</f>
        <v>#REF!</v>
      </c>
      <c r="P55" s="48" t="e">
        <f>IF(AND('Mapa final'!#REF!="Muy Baja",'Mapa final'!#REF!="Menor"),CONCATENATE("R10C",'Mapa final'!#REF!),"")</f>
        <v>#REF!</v>
      </c>
      <c r="Q55" s="49" t="e">
        <f>IF(AND('Mapa final'!#REF!="Muy Baja",'Mapa final'!#REF!="Menor"),CONCATENATE("R10C",'Mapa final'!#REF!),"")</f>
        <v>#REF!</v>
      </c>
      <c r="R55" s="49" t="e">
        <f>IF(AND('Mapa final'!#REF!="Muy Baja",'Mapa final'!#REF!="Menor"),CONCATENATE("R10C",'Mapa final'!#REF!),"")</f>
        <v>#REF!</v>
      </c>
      <c r="S55" s="49" t="e">
        <f>IF(AND('Mapa final'!#REF!="Muy Baja",'Mapa final'!#REF!="Menor"),CONCATENATE("R10C",'Mapa final'!#REF!),"")</f>
        <v>#REF!</v>
      </c>
      <c r="T55" s="49" t="e">
        <f>IF(AND('Mapa final'!#REF!="Muy Baja",'Mapa final'!#REF!="Menor"),CONCATENATE("R10C",'Mapa final'!#REF!),"")</f>
        <v>#REF!</v>
      </c>
      <c r="U55" s="50" t="e">
        <f>IF(AND('Mapa final'!#REF!="Muy Baja",'Mapa final'!#REF!="Menor"),CONCATENATE("R10C",'Mapa final'!#REF!),"")</f>
        <v>#REF!</v>
      </c>
      <c r="V55" s="39" t="e">
        <f>IF(AND('Mapa final'!#REF!="Muy Baja",'Mapa final'!#REF!="Moderado"),CONCATENATE("R10C",'Mapa final'!#REF!),"")</f>
        <v>#REF!</v>
      </c>
      <c r="W55" s="40" t="e">
        <f>IF(AND('Mapa final'!#REF!="Muy Baja",'Mapa final'!#REF!="Moderado"),CONCATENATE("R10C",'Mapa final'!#REF!),"")</f>
        <v>#REF!</v>
      </c>
      <c r="X55" s="40" t="e">
        <f>IF(AND('Mapa final'!#REF!="Muy Baja",'Mapa final'!#REF!="Moderado"),CONCATENATE("R10C",'Mapa final'!#REF!),"")</f>
        <v>#REF!</v>
      </c>
      <c r="Y55" s="40" t="e">
        <f>IF(AND('Mapa final'!#REF!="Muy Baja",'Mapa final'!#REF!="Moderado"),CONCATENATE("R10C",'Mapa final'!#REF!),"")</f>
        <v>#REF!</v>
      </c>
      <c r="Z55" s="40" t="e">
        <f>IF(AND('Mapa final'!#REF!="Muy Baja",'Mapa final'!#REF!="Moderado"),CONCATENATE("R10C",'Mapa final'!#REF!),"")</f>
        <v>#REF!</v>
      </c>
      <c r="AA55" s="41" t="e">
        <f>IF(AND('Mapa final'!#REF!="Muy Baja",'Mapa final'!#REF!="Moderado"),CONCATENATE("R10C",'Mapa final'!#REF!),"")</f>
        <v>#REF!</v>
      </c>
      <c r="AB55" s="27" t="e">
        <f>IF(AND('Mapa final'!#REF!="Muy Baja",'Mapa final'!#REF!="Mayor"),CONCATENATE("R10C",'Mapa final'!#REF!),"")</f>
        <v>#REF!</v>
      </c>
      <c r="AC55" s="28" t="e">
        <f>IF(AND('Mapa final'!#REF!="Muy Baja",'Mapa final'!#REF!="Mayor"),CONCATENATE("R10C",'Mapa final'!#REF!),"")</f>
        <v>#REF!</v>
      </c>
      <c r="AD55" s="28" t="e">
        <f>IF(AND('Mapa final'!#REF!="Muy Baja",'Mapa final'!#REF!="Mayor"),CONCATENATE("R10C",'Mapa final'!#REF!),"")</f>
        <v>#REF!</v>
      </c>
      <c r="AE55" s="28" t="e">
        <f>IF(AND('Mapa final'!#REF!="Muy Baja",'Mapa final'!#REF!="Mayor"),CONCATENATE("R10C",'Mapa final'!#REF!),"")</f>
        <v>#REF!</v>
      </c>
      <c r="AF55" s="28" t="e">
        <f>IF(AND('Mapa final'!#REF!="Muy Baja",'Mapa final'!#REF!="Mayor"),CONCATENATE("R10C",'Mapa final'!#REF!),"")</f>
        <v>#REF!</v>
      </c>
      <c r="AG55" s="29" t="e">
        <f>IF(AND('Mapa final'!#REF!="Muy Baja",'Mapa final'!#REF!="Mayor"),CONCATENATE("R10C",'Mapa final'!#REF!),"")</f>
        <v>#REF!</v>
      </c>
      <c r="AH55" s="30" t="e">
        <f>IF(AND('Mapa final'!#REF!="Muy Baja",'Mapa final'!#REF!="Catastrófico"),CONCATENATE("R10C",'Mapa final'!#REF!),"")</f>
        <v>#REF!</v>
      </c>
      <c r="AI55" s="31" t="e">
        <f>IF(AND('Mapa final'!#REF!="Muy Baja",'Mapa final'!#REF!="Catastrófico"),CONCATENATE("R10C",'Mapa final'!#REF!),"")</f>
        <v>#REF!</v>
      </c>
      <c r="AJ55" s="31" t="e">
        <f>IF(AND('Mapa final'!#REF!="Muy Baja",'Mapa final'!#REF!="Catastrófico"),CONCATENATE("R10C",'Mapa final'!#REF!),"")</f>
        <v>#REF!</v>
      </c>
      <c r="AK55" s="31" t="e">
        <f>IF(AND('Mapa final'!#REF!="Muy Baja",'Mapa final'!#REF!="Catastrófico"),CONCATENATE("R10C",'Mapa final'!#REF!),"")</f>
        <v>#REF!</v>
      </c>
      <c r="AL55" s="31" t="e">
        <f>IF(AND('Mapa final'!#REF!="Muy Baja",'Mapa final'!#REF!="Catastrófico"),CONCATENATE("R10C",'Mapa final'!#REF!),"")</f>
        <v>#REF!</v>
      </c>
      <c r="AM55" s="32" t="e">
        <f>IF(AND('Mapa final'!#REF!="Muy Baja",'Mapa final'!#REF!="Catastrófico"),CONCATENATE("R10C",'Mapa final'!#REF!),"")</f>
        <v>#REF!</v>
      </c>
    </row>
    <row r="56" spans="2:39" ht="15.75" customHeight="1" x14ac:dyDescent="0.25">
      <c r="B56" s="1"/>
      <c r="C56" s="1"/>
      <c r="D56" s="1"/>
      <c r="E56" s="1"/>
      <c r="F56" s="1"/>
      <c r="G56" s="1"/>
      <c r="H56" s="1"/>
      <c r="I56" s="1"/>
      <c r="J56" s="281" t="s">
        <v>104</v>
      </c>
      <c r="K56" s="252"/>
      <c r="L56" s="252"/>
      <c r="M56" s="252"/>
      <c r="N56" s="252"/>
      <c r="O56" s="238"/>
      <c r="P56" s="281" t="s">
        <v>105</v>
      </c>
      <c r="Q56" s="252"/>
      <c r="R56" s="252"/>
      <c r="S56" s="252"/>
      <c r="T56" s="252"/>
      <c r="U56" s="238"/>
      <c r="V56" s="281" t="s">
        <v>106</v>
      </c>
      <c r="W56" s="252"/>
      <c r="X56" s="252"/>
      <c r="Y56" s="252"/>
      <c r="Z56" s="252"/>
      <c r="AA56" s="238"/>
      <c r="AB56" s="281" t="s">
        <v>107</v>
      </c>
      <c r="AC56" s="252"/>
      <c r="AD56" s="252"/>
      <c r="AE56" s="252"/>
      <c r="AF56" s="252"/>
      <c r="AG56" s="238"/>
      <c r="AH56" s="281" t="s">
        <v>108</v>
      </c>
      <c r="AI56" s="252"/>
      <c r="AJ56" s="252"/>
      <c r="AK56" s="252"/>
      <c r="AL56" s="252"/>
      <c r="AM56" s="238"/>
    </row>
    <row r="57" spans="2:39" ht="15.75" customHeight="1" x14ac:dyDescent="0.25">
      <c r="B57" s="1"/>
      <c r="C57" s="1"/>
      <c r="D57" s="1"/>
      <c r="E57" s="1"/>
      <c r="F57" s="1"/>
      <c r="G57" s="1"/>
      <c r="H57" s="1"/>
      <c r="I57" s="1"/>
      <c r="J57" s="230"/>
      <c r="K57" s="218"/>
      <c r="L57" s="218"/>
      <c r="M57" s="218"/>
      <c r="N57" s="218"/>
      <c r="O57" s="219"/>
      <c r="P57" s="230"/>
      <c r="Q57" s="218"/>
      <c r="R57" s="218"/>
      <c r="S57" s="218"/>
      <c r="T57" s="218"/>
      <c r="U57" s="219"/>
      <c r="V57" s="230"/>
      <c r="W57" s="218"/>
      <c r="X57" s="218"/>
      <c r="Y57" s="218"/>
      <c r="Z57" s="218"/>
      <c r="AA57" s="219"/>
      <c r="AB57" s="230"/>
      <c r="AC57" s="218"/>
      <c r="AD57" s="218"/>
      <c r="AE57" s="218"/>
      <c r="AF57" s="218"/>
      <c r="AG57" s="219"/>
      <c r="AH57" s="230"/>
      <c r="AI57" s="218"/>
      <c r="AJ57" s="218"/>
      <c r="AK57" s="218"/>
      <c r="AL57" s="218"/>
      <c r="AM57" s="219"/>
    </row>
    <row r="58" spans="2:39" ht="15.75" customHeight="1" x14ac:dyDescent="0.25">
      <c r="B58" s="1"/>
      <c r="C58" s="1"/>
      <c r="D58" s="1"/>
      <c r="E58" s="1"/>
      <c r="F58" s="1"/>
      <c r="G58" s="1"/>
      <c r="H58" s="1"/>
      <c r="I58" s="1"/>
      <c r="J58" s="230"/>
      <c r="K58" s="218"/>
      <c r="L58" s="218"/>
      <c r="M58" s="218"/>
      <c r="N58" s="218"/>
      <c r="O58" s="219"/>
      <c r="P58" s="230"/>
      <c r="Q58" s="218"/>
      <c r="R58" s="218"/>
      <c r="S58" s="218"/>
      <c r="T58" s="218"/>
      <c r="U58" s="219"/>
      <c r="V58" s="230"/>
      <c r="W58" s="218"/>
      <c r="X58" s="218"/>
      <c r="Y58" s="218"/>
      <c r="Z58" s="218"/>
      <c r="AA58" s="219"/>
      <c r="AB58" s="230"/>
      <c r="AC58" s="218"/>
      <c r="AD58" s="218"/>
      <c r="AE58" s="218"/>
      <c r="AF58" s="218"/>
      <c r="AG58" s="219"/>
      <c r="AH58" s="230"/>
      <c r="AI58" s="218"/>
      <c r="AJ58" s="218"/>
      <c r="AK58" s="218"/>
      <c r="AL58" s="218"/>
      <c r="AM58" s="219"/>
    </row>
    <row r="59" spans="2:39" ht="15.75" customHeight="1" x14ac:dyDescent="0.25">
      <c r="B59" s="1"/>
      <c r="C59" s="1"/>
      <c r="D59" s="1"/>
      <c r="E59" s="1"/>
      <c r="F59" s="1"/>
      <c r="G59" s="1"/>
      <c r="H59" s="1"/>
      <c r="I59" s="1"/>
      <c r="J59" s="230"/>
      <c r="K59" s="218"/>
      <c r="L59" s="218"/>
      <c r="M59" s="218"/>
      <c r="N59" s="218"/>
      <c r="O59" s="219"/>
      <c r="P59" s="230"/>
      <c r="Q59" s="218"/>
      <c r="R59" s="218"/>
      <c r="S59" s="218"/>
      <c r="T59" s="218"/>
      <c r="U59" s="219"/>
      <c r="V59" s="230"/>
      <c r="W59" s="218"/>
      <c r="X59" s="218"/>
      <c r="Y59" s="218"/>
      <c r="Z59" s="218"/>
      <c r="AA59" s="219"/>
      <c r="AB59" s="230"/>
      <c r="AC59" s="218"/>
      <c r="AD59" s="218"/>
      <c r="AE59" s="218"/>
      <c r="AF59" s="218"/>
      <c r="AG59" s="219"/>
      <c r="AH59" s="230"/>
      <c r="AI59" s="218"/>
      <c r="AJ59" s="218"/>
      <c r="AK59" s="218"/>
      <c r="AL59" s="218"/>
      <c r="AM59" s="219"/>
    </row>
    <row r="60" spans="2:39" ht="15.75" customHeight="1" x14ac:dyDescent="0.25">
      <c r="B60" s="1"/>
      <c r="C60" s="1"/>
      <c r="D60" s="1"/>
      <c r="E60" s="1"/>
      <c r="F60" s="1"/>
      <c r="G60" s="1"/>
      <c r="H60" s="1"/>
      <c r="I60" s="1"/>
      <c r="J60" s="230"/>
      <c r="K60" s="218"/>
      <c r="L60" s="218"/>
      <c r="M60" s="218"/>
      <c r="N60" s="218"/>
      <c r="O60" s="219"/>
      <c r="P60" s="230"/>
      <c r="Q60" s="218"/>
      <c r="R60" s="218"/>
      <c r="S60" s="218"/>
      <c r="T60" s="218"/>
      <c r="U60" s="219"/>
      <c r="V60" s="230"/>
      <c r="W60" s="218"/>
      <c r="X60" s="218"/>
      <c r="Y60" s="218"/>
      <c r="Z60" s="218"/>
      <c r="AA60" s="219"/>
      <c r="AB60" s="230"/>
      <c r="AC60" s="218"/>
      <c r="AD60" s="218"/>
      <c r="AE60" s="218"/>
      <c r="AF60" s="218"/>
      <c r="AG60" s="219"/>
      <c r="AH60" s="230"/>
      <c r="AI60" s="218"/>
      <c r="AJ60" s="218"/>
      <c r="AK60" s="218"/>
      <c r="AL60" s="218"/>
      <c r="AM60" s="219"/>
    </row>
    <row r="61" spans="2:39" ht="15.75" customHeight="1" x14ac:dyDescent="0.25">
      <c r="B61" s="1"/>
      <c r="C61" s="1"/>
      <c r="D61" s="1"/>
      <c r="E61" s="1"/>
      <c r="F61" s="1"/>
      <c r="G61" s="1"/>
      <c r="H61" s="1"/>
      <c r="I61" s="1"/>
      <c r="J61" s="253"/>
      <c r="K61" s="254"/>
      <c r="L61" s="254"/>
      <c r="M61" s="254"/>
      <c r="N61" s="254"/>
      <c r="O61" s="257"/>
      <c r="P61" s="253"/>
      <c r="Q61" s="254"/>
      <c r="R61" s="254"/>
      <c r="S61" s="254"/>
      <c r="T61" s="254"/>
      <c r="U61" s="257"/>
      <c r="V61" s="253"/>
      <c r="W61" s="254"/>
      <c r="X61" s="254"/>
      <c r="Y61" s="254"/>
      <c r="Z61" s="254"/>
      <c r="AA61" s="257"/>
      <c r="AB61" s="253"/>
      <c r="AC61" s="254"/>
      <c r="AD61" s="254"/>
      <c r="AE61" s="254"/>
      <c r="AF61" s="254"/>
      <c r="AG61" s="257"/>
      <c r="AH61" s="253"/>
      <c r="AI61" s="254"/>
      <c r="AJ61" s="254"/>
      <c r="AK61" s="254"/>
      <c r="AL61" s="254"/>
      <c r="AM61" s="257"/>
    </row>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D8"/>
  <sheetViews>
    <sheetView topLeftCell="A3" workbookViewId="0">
      <selection activeCell="C7" sqref="C7"/>
    </sheetView>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2:4" ht="23.25" x14ac:dyDescent="0.2">
      <c r="B1" s="286" t="s">
        <v>110</v>
      </c>
      <c r="C1" s="218"/>
      <c r="D1" s="218"/>
    </row>
    <row r="2" spans="2:4" x14ac:dyDescent="0.25">
      <c r="B2" s="1"/>
      <c r="C2" s="1"/>
      <c r="D2" s="1"/>
    </row>
    <row r="3" spans="2:4" ht="25.5" x14ac:dyDescent="0.2">
      <c r="B3" s="52"/>
      <c r="C3" s="53" t="s">
        <v>111</v>
      </c>
      <c r="D3" s="53" t="s">
        <v>94</v>
      </c>
    </row>
    <row r="4" spans="2:4" ht="51" x14ac:dyDescent="0.2">
      <c r="B4" s="54" t="s">
        <v>112</v>
      </c>
      <c r="C4" s="55" t="s">
        <v>113</v>
      </c>
      <c r="D4" s="56">
        <v>0.2</v>
      </c>
    </row>
    <row r="5" spans="2:4" ht="51" x14ac:dyDescent="0.2">
      <c r="B5" s="57" t="s">
        <v>114</v>
      </c>
      <c r="C5" s="58" t="s">
        <v>115</v>
      </c>
      <c r="D5" s="59">
        <v>0.4</v>
      </c>
    </row>
    <row r="6" spans="2:4" ht="51" x14ac:dyDescent="0.2">
      <c r="B6" s="60" t="s">
        <v>116</v>
      </c>
      <c r="C6" s="58" t="s">
        <v>117</v>
      </c>
      <c r="D6" s="59">
        <v>0.6</v>
      </c>
    </row>
    <row r="7" spans="2:4" ht="76.5" x14ac:dyDescent="0.2">
      <c r="B7" s="61" t="s">
        <v>118</v>
      </c>
      <c r="C7" s="58" t="s">
        <v>119</v>
      </c>
      <c r="D7" s="59">
        <v>0.8</v>
      </c>
    </row>
    <row r="8" spans="2:4" ht="51" x14ac:dyDescent="0.2">
      <c r="B8" s="62" t="s">
        <v>120</v>
      </c>
      <c r="C8" s="58" t="s">
        <v>121</v>
      </c>
      <c r="D8" s="59">
        <v>1</v>
      </c>
    </row>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H224"/>
  <sheetViews>
    <sheetView topLeftCell="B2" zoomScale="70" zoomScaleNormal="70" workbookViewId="0">
      <selection activeCell="C7" sqref="C7"/>
    </sheetView>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4" ht="33.75" x14ac:dyDescent="0.25">
      <c r="A1" s="1"/>
      <c r="B1" s="287" t="s">
        <v>122</v>
      </c>
      <c r="C1" s="218"/>
      <c r="D1" s="218"/>
    </row>
    <row r="2" spans="1:4" x14ac:dyDescent="0.25">
      <c r="A2" s="1"/>
      <c r="B2" s="1"/>
      <c r="C2" s="1"/>
      <c r="D2" s="1"/>
    </row>
    <row r="3" spans="1:4" ht="30" x14ac:dyDescent="0.25">
      <c r="A3" s="1"/>
      <c r="B3" s="63"/>
      <c r="C3" s="64" t="s">
        <v>123</v>
      </c>
      <c r="D3" s="64" t="s">
        <v>124</v>
      </c>
    </row>
    <row r="4" spans="1:4" ht="33.75" x14ac:dyDescent="0.25">
      <c r="A4" s="65" t="s">
        <v>125</v>
      </c>
      <c r="B4" s="66" t="s">
        <v>126</v>
      </c>
      <c r="C4" s="67" t="s">
        <v>127</v>
      </c>
      <c r="D4" s="68" t="s">
        <v>128</v>
      </c>
    </row>
    <row r="5" spans="1:4" ht="67.5" x14ac:dyDescent="0.25">
      <c r="A5" s="65" t="s">
        <v>129</v>
      </c>
      <c r="B5" s="69" t="s">
        <v>130</v>
      </c>
      <c r="C5" s="70" t="s">
        <v>131</v>
      </c>
      <c r="D5" s="71" t="s">
        <v>132</v>
      </c>
    </row>
    <row r="6" spans="1:4" ht="67.5" x14ac:dyDescent="0.25">
      <c r="A6" s="65" t="s">
        <v>100</v>
      </c>
      <c r="B6" s="72" t="s">
        <v>133</v>
      </c>
      <c r="C6" s="98" t="s">
        <v>134</v>
      </c>
      <c r="D6" s="99" t="s">
        <v>215</v>
      </c>
    </row>
    <row r="7" spans="1:4" ht="101.25" x14ac:dyDescent="0.25">
      <c r="A7" s="65" t="s">
        <v>136</v>
      </c>
      <c r="B7" s="73" t="s">
        <v>137</v>
      </c>
      <c r="C7" s="70" t="s">
        <v>138</v>
      </c>
      <c r="D7" s="71" t="s">
        <v>214</v>
      </c>
    </row>
    <row r="8" spans="1:4" ht="67.5" x14ac:dyDescent="0.25">
      <c r="A8" s="65" t="s">
        <v>140</v>
      </c>
      <c r="B8" s="74" t="s">
        <v>141</v>
      </c>
      <c r="C8" s="70" t="s">
        <v>142</v>
      </c>
      <c r="D8" s="71" t="s">
        <v>143</v>
      </c>
    </row>
    <row r="9" spans="1:4" ht="20.25" x14ac:dyDescent="0.25">
      <c r="A9" s="65"/>
      <c r="B9" s="65"/>
      <c r="C9" s="75"/>
      <c r="D9" s="75"/>
    </row>
    <row r="10" spans="1:4" ht="16.5" x14ac:dyDescent="0.25">
      <c r="A10" s="65"/>
      <c r="B10" s="76"/>
      <c r="C10" s="76"/>
      <c r="D10" s="76"/>
    </row>
    <row r="11" spans="1:4" x14ac:dyDescent="0.25">
      <c r="A11" s="65"/>
      <c r="B11" s="65" t="s">
        <v>144</v>
      </c>
      <c r="C11" s="65" t="s">
        <v>145</v>
      </c>
      <c r="D11" s="65" t="s">
        <v>146</v>
      </c>
    </row>
    <row r="12" spans="1:4" x14ac:dyDescent="0.25">
      <c r="A12" s="65"/>
      <c r="B12" s="65" t="s">
        <v>147</v>
      </c>
      <c r="C12" s="65" t="s">
        <v>148</v>
      </c>
      <c r="D12" s="65" t="s">
        <v>149</v>
      </c>
    </row>
    <row r="13" spans="1:4" x14ac:dyDescent="0.25">
      <c r="A13" s="65"/>
      <c r="B13" s="65"/>
      <c r="C13" s="65" t="s">
        <v>150</v>
      </c>
      <c r="D13" s="65" t="s">
        <v>151</v>
      </c>
    </row>
    <row r="14" spans="1:4" x14ac:dyDescent="0.25">
      <c r="A14" s="65"/>
      <c r="B14" s="65"/>
      <c r="C14" s="65" t="s">
        <v>152</v>
      </c>
      <c r="D14" s="65" t="s">
        <v>153</v>
      </c>
    </row>
    <row r="15" spans="1:4" x14ac:dyDescent="0.25">
      <c r="A15" s="65"/>
      <c r="B15" s="65"/>
      <c r="C15" s="65" t="s">
        <v>154</v>
      </c>
      <c r="D15" s="65" t="s">
        <v>155</v>
      </c>
    </row>
    <row r="209" spans="2:8" ht="15.75" customHeight="1" x14ac:dyDescent="0.25">
      <c r="B209" s="77" t="s">
        <v>156</v>
      </c>
      <c r="C209" s="77" t="s">
        <v>157</v>
      </c>
      <c r="D209" s="78" t="s">
        <v>156</v>
      </c>
      <c r="E209" s="78" t="s">
        <v>157</v>
      </c>
    </row>
    <row r="210" spans="2:8" ht="15.75" customHeight="1" x14ac:dyDescent="0.35">
      <c r="B210" s="79" t="s">
        <v>158</v>
      </c>
      <c r="C210" s="79" t="s">
        <v>159</v>
      </c>
      <c r="D210" s="80" t="s">
        <v>158</v>
      </c>
      <c r="F210" s="80" t="str">
        <f t="shared" ref="F210:F221" si="0">IF(NOT(ISBLANK(D210)),D210,IF(NOT(ISBLANK(E210)),"     "&amp;E210,FALSE))</f>
        <v>Afectación Económica o presupuestal</v>
      </c>
      <c r="G210" s="80" t="s">
        <v>158</v>
      </c>
      <c r="H210" s="80" t="str">
        <f ca="1">IF(NOT(ISERROR(MATCH(G210,ANCHORARRAY(B221),0))),F223&amp;"Por favor no seleccionar los criterios de impacto",G210)</f>
        <v>Afectación Económica o presupuestal</v>
      </c>
    </row>
    <row r="211" spans="2:8" ht="15.75" customHeight="1" x14ac:dyDescent="0.35">
      <c r="B211" s="79" t="s">
        <v>158</v>
      </c>
      <c r="C211" s="79" t="s">
        <v>131</v>
      </c>
      <c r="E211" s="80" t="s">
        <v>159</v>
      </c>
      <c r="F211" s="80" t="str">
        <f t="shared" si="0"/>
        <v xml:space="preserve">     Afectación menor a 10 SMLMV .</v>
      </c>
    </row>
    <row r="212" spans="2:8" ht="15.75" customHeight="1" x14ac:dyDescent="0.35">
      <c r="B212" s="79" t="s">
        <v>158</v>
      </c>
      <c r="C212" s="79" t="s">
        <v>134</v>
      </c>
      <c r="E212" s="80" t="s">
        <v>131</v>
      </c>
      <c r="F212" s="80" t="str">
        <f t="shared" si="0"/>
        <v xml:space="preserve">     Entre 10 y 50 SMLMV </v>
      </c>
    </row>
    <row r="213" spans="2:8" ht="15.75" customHeight="1" x14ac:dyDescent="0.35">
      <c r="B213" s="79" t="s">
        <v>158</v>
      </c>
      <c r="C213" s="79" t="s">
        <v>138</v>
      </c>
      <c r="E213" s="80" t="s">
        <v>134</v>
      </c>
      <c r="F213" s="80" t="str">
        <f t="shared" si="0"/>
        <v xml:space="preserve">     Entre 50 y 100 SMLMV </v>
      </c>
    </row>
    <row r="214" spans="2:8" ht="15.75" customHeight="1" x14ac:dyDescent="0.35">
      <c r="B214" s="79" t="s">
        <v>158</v>
      </c>
      <c r="C214" s="79" t="s">
        <v>142</v>
      </c>
      <c r="E214" s="80" t="s">
        <v>138</v>
      </c>
      <c r="F214" s="80" t="str">
        <f t="shared" si="0"/>
        <v xml:space="preserve">     Entre 100 y 500 SMLMV </v>
      </c>
    </row>
    <row r="215" spans="2:8" ht="15.75" customHeight="1" x14ac:dyDescent="0.35">
      <c r="B215" s="79" t="s">
        <v>124</v>
      </c>
      <c r="C215" s="79" t="s">
        <v>128</v>
      </c>
      <c r="E215" s="80" t="s">
        <v>142</v>
      </c>
      <c r="F215" s="80" t="str">
        <f t="shared" si="0"/>
        <v xml:space="preserve">     Mayor a 500 SMLMV </v>
      </c>
    </row>
    <row r="216" spans="2:8" ht="15.75" customHeight="1" x14ac:dyDescent="0.35">
      <c r="B216" s="79" t="s">
        <v>124</v>
      </c>
      <c r="C216" s="79" t="s">
        <v>132</v>
      </c>
      <c r="D216" s="80" t="s">
        <v>124</v>
      </c>
      <c r="F216" s="80" t="str">
        <f t="shared" si="0"/>
        <v>Pérdida Reputacional</v>
      </c>
    </row>
    <row r="217" spans="2:8" ht="15.75" customHeight="1" x14ac:dyDescent="0.35">
      <c r="B217" s="79" t="s">
        <v>124</v>
      </c>
      <c r="C217" s="79" t="s">
        <v>135</v>
      </c>
      <c r="E217" s="80" t="s">
        <v>128</v>
      </c>
      <c r="F217" s="80" t="str">
        <f t="shared" si="0"/>
        <v xml:space="preserve">     El riesgo afecta la imagen de alguna área de la organización</v>
      </c>
    </row>
    <row r="218" spans="2:8" ht="15.75" customHeight="1" x14ac:dyDescent="0.35">
      <c r="B218" s="79" t="s">
        <v>124</v>
      </c>
      <c r="C218" s="79" t="s">
        <v>139</v>
      </c>
      <c r="E218" s="80" t="s">
        <v>132</v>
      </c>
      <c r="F218" s="80" t="str">
        <f t="shared" si="0"/>
        <v xml:space="preserve">     El riesgo afecta la imagen de la entidad internamente, de conocimiento general, nivel interno, de junta dircetiva y accionistas y/o de provedores</v>
      </c>
    </row>
    <row r="219" spans="2:8" ht="15.75" customHeight="1" x14ac:dyDescent="0.35">
      <c r="B219" s="79" t="s">
        <v>124</v>
      </c>
      <c r="C219" s="79" t="s">
        <v>143</v>
      </c>
      <c r="E219" s="80" t="s">
        <v>135</v>
      </c>
      <c r="F219" s="80" t="str">
        <f t="shared" si="0"/>
        <v xml:space="preserve">     El riesgo afecta la imagen de la entidad con algunos usuarios de relevancia frente al logro de los objetivos</v>
      </c>
    </row>
    <row r="220" spans="2:8" ht="15.75" customHeight="1" x14ac:dyDescent="0.25">
      <c r="B220" s="81"/>
      <c r="C220" s="81"/>
      <c r="E220" s="80" t="s">
        <v>139</v>
      </c>
      <c r="F220" s="80" t="str">
        <f t="shared" si="0"/>
        <v xml:space="preserve">     El riesgo afecta la imagen de de la entidad con efecto publicitario sostenido a nivel de sector administrativo, nivel departamental o municipal</v>
      </c>
    </row>
    <row r="221" spans="2:8" ht="15.75" customHeight="1" x14ac:dyDescent="0.25">
      <c r="B221" s="81" t="str">
        <f ca="1">IFERROR(__xludf.DUMMYFUNCTION("ARRAY_CONSTRAIN(ARRAYFORMULA(UNIQUE('Tabla Impacto'!$B$209:$B$219)), 3, 1)"),"Criterios")</f>
        <v>Criterios</v>
      </c>
      <c r="C221" s="81"/>
      <c r="E221" s="80" t="s">
        <v>143</v>
      </c>
      <c r="F221" s="80" t="str">
        <f t="shared" si="0"/>
        <v xml:space="preserve">     El riesgo afecta la imagen de la entidad a nivel nacional, con efecto publicitarios sostenible a nivel país</v>
      </c>
    </row>
    <row r="222" spans="2:8" ht="15.75" customHeight="1" x14ac:dyDescent="0.25">
      <c r="B222" s="81" t="str">
        <f ca="1">IFERROR(__xludf.DUMMYFUNCTION("""COMPUTED_VALUE"""),"Afectación Económica o presupuestal")</f>
        <v>Afectación Económica o presupuestal</v>
      </c>
      <c r="C222" s="81"/>
    </row>
    <row r="223" spans="2:8" ht="15.75" customHeight="1" x14ac:dyDescent="0.25">
      <c r="B223" s="81" t="str">
        <f ca="1">IFERROR(__xludf.DUMMYFUNCTION("""COMPUTED_VALUE"""),"Pérdida Reputacional")</f>
        <v>Pérdida Reputacional</v>
      </c>
      <c r="C223" s="81"/>
      <c r="F223" s="82" t="s">
        <v>160</v>
      </c>
    </row>
    <row r="224" spans="2:8" ht="15.75" customHeight="1" x14ac:dyDescent="0.25">
      <c r="B224" s="78"/>
      <c r="C224" s="78"/>
      <c r="F224" s="82" t="s">
        <v>161</v>
      </c>
    </row>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B1:F15"/>
  <sheetViews>
    <sheetView workbookViewId="0">
      <selection activeCell="E7" sqref="E7"/>
    </sheetView>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2:6" ht="24" customHeight="1" x14ac:dyDescent="0.2">
      <c r="B1" s="293" t="s">
        <v>162</v>
      </c>
      <c r="C1" s="294"/>
      <c r="D1" s="294"/>
      <c r="E1" s="294"/>
      <c r="F1" s="295"/>
    </row>
    <row r="2" spans="2:6" ht="12.75" customHeight="1" x14ac:dyDescent="0.25">
      <c r="B2" s="83"/>
      <c r="C2" s="83"/>
      <c r="D2" s="83"/>
      <c r="E2" s="83"/>
      <c r="F2" s="83"/>
    </row>
    <row r="3" spans="2:6" ht="12.75" customHeight="1" x14ac:dyDescent="0.2">
      <c r="B3" s="296" t="s">
        <v>163</v>
      </c>
      <c r="C3" s="294"/>
      <c r="D3" s="297"/>
      <c r="E3" s="84" t="s">
        <v>164</v>
      </c>
      <c r="F3" s="85" t="s">
        <v>165</v>
      </c>
    </row>
    <row r="4" spans="2:6" ht="12.75" customHeight="1" x14ac:dyDescent="0.2">
      <c r="B4" s="298" t="s">
        <v>166</v>
      </c>
      <c r="C4" s="301" t="s">
        <v>86</v>
      </c>
      <c r="D4" s="86" t="s">
        <v>167</v>
      </c>
      <c r="E4" s="87" t="s">
        <v>168</v>
      </c>
      <c r="F4" s="88">
        <v>0.25</v>
      </c>
    </row>
    <row r="5" spans="2:6" ht="12.75" customHeight="1" x14ac:dyDescent="0.2">
      <c r="B5" s="299"/>
      <c r="C5" s="302"/>
      <c r="D5" s="89" t="s">
        <v>169</v>
      </c>
      <c r="E5" s="90" t="s">
        <v>170</v>
      </c>
      <c r="F5" s="91">
        <v>0.15</v>
      </c>
    </row>
    <row r="6" spans="2:6" ht="12.75" customHeight="1" x14ac:dyDescent="0.2">
      <c r="B6" s="299"/>
      <c r="C6" s="291"/>
      <c r="D6" s="89" t="s">
        <v>171</v>
      </c>
      <c r="E6" s="90" t="s">
        <v>172</v>
      </c>
      <c r="F6" s="91">
        <v>0.1</v>
      </c>
    </row>
    <row r="7" spans="2:6" ht="12.75" customHeight="1" x14ac:dyDescent="0.2">
      <c r="B7" s="299"/>
      <c r="C7" s="290" t="s">
        <v>87</v>
      </c>
      <c r="D7" s="89" t="s">
        <v>173</v>
      </c>
      <c r="E7" s="90" t="s">
        <v>174</v>
      </c>
      <c r="F7" s="91">
        <v>0.25</v>
      </c>
    </row>
    <row r="8" spans="2:6" ht="12.75" customHeight="1" x14ac:dyDescent="0.2">
      <c r="B8" s="300"/>
      <c r="C8" s="291"/>
      <c r="D8" s="89" t="s">
        <v>175</v>
      </c>
      <c r="E8" s="90" t="s">
        <v>176</v>
      </c>
      <c r="F8" s="91">
        <v>0.15</v>
      </c>
    </row>
    <row r="9" spans="2:6" ht="12.75" customHeight="1" x14ac:dyDescent="0.2">
      <c r="B9" s="303" t="s">
        <v>177</v>
      </c>
      <c r="C9" s="290" t="s">
        <v>89</v>
      </c>
      <c r="D9" s="89" t="s">
        <v>178</v>
      </c>
      <c r="E9" s="90" t="s">
        <v>179</v>
      </c>
      <c r="F9" s="92" t="s">
        <v>180</v>
      </c>
    </row>
    <row r="10" spans="2:6" ht="12.75" customHeight="1" x14ac:dyDescent="0.2">
      <c r="B10" s="299"/>
      <c r="C10" s="291"/>
      <c r="D10" s="89" t="s">
        <v>181</v>
      </c>
      <c r="E10" s="90" t="s">
        <v>182</v>
      </c>
      <c r="F10" s="92" t="s">
        <v>180</v>
      </c>
    </row>
    <row r="11" spans="2:6" ht="12.75" customHeight="1" x14ac:dyDescent="0.2">
      <c r="B11" s="299"/>
      <c r="C11" s="290" t="s">
        <v>90</v>
      </c>
      <c r="D11" s="89" t="s">
        <v>183</v>
      </c>
      <c r="E11" s="90" t="s">
        <v>184</v>
      </c>
      <c r="F11" s="92" t="s">
        <v>180</v>
      </c>
    </row>
    <row r="12" spans="2:6" ht="12.75" customHeight="1" x14ac:dyDescent="0.2">
      <c r="B12" s="299"/>
      <c r="C12" s="291"/>
      <c r="D12" s="89" t="s">
        <v>185</v>
      </c>
      <c r="E12" s="90" t="s">
        <v>186</v>
      </c>
      <c r="F12" s="92" t="s">
        <v>180</v>
      </c>
    </row>
    <row r="13" spans="2:6" ht="12.75" customHeight="1" x14ac:dyDescent="0.2">
      <c r="B13" s="299"/>
      <c r="C13" s="290" t="s">
        <v>91</v>
      </c>
      <c r="D13" s="89" t="s">
        <v>187</v>
      </c>
      <c r="E13" s="90" t="s">
        <v>188</v>
      </c>
      <c r="F13" s="92" t="s">
        <v>180</v>
      </c>
    </row>
    <row r="14" spans="2:6" ht="12.75" customHeight="1" x14ac:dyDescent="0.2">
      <c r="B14" s="304"/>
      <c r="C14" s="292"/>
      <c r="D14" s="93" t="s">
        <v>189</v>
      </c>
      <c r="E14" s="94" t="s">
        <v>190</v>
      </c>
      <c r="F14" s="95" t="s">
        <v>180</v>
      </c>
    </row>
    <row r="15" spans="2:6" ht="49.5" customHeight="1" x14ac:dyDescent="0.2">
      <c r="B15" s="288" t="s">
        <v>191</v>
      </c>
      <c r="C15" s="196"/>
      <c r="D15" s="196"/>
      <c r="E15" s="196"/>
      <c r="F15" s="289"/>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15"/>
  <sheetViews>
    <sheetView workbookViewId="0">
      <selection activeCell="F19" sqref="F19"/>
    </sheetView>
  </sheetViews>
  <sheetFormatPr baseColWidth="10" defaultColWidth="11" defaultRowHeight="14.25" x14ac:dyDescent="0.2"/>
  <sheetData>
    <row r="2" spans="2:12" ht="15.75" x14ac:dyDescent="0.3">
      <c r="B2" s="100"/>
      <c r="C2" s="310" t="s">
        <v>226</v>
      </c>
      <c r="D2" s="310"/>
      <c r="E2" s="310"/>
      <c r="F2" s="310"/>
      <c r="G2" s="310"/>
      <c r="H2" s="310"/>
      <c r="I2" s="310"/>
      <c r="J2" s="310"/>
      <c r="K2" s="310"/>
      <c r="L2" s="310"/>
    </row>
    <row r="3" spans="2:12" ht="16.5" thickBot="1" x14ac:dyDescent="0.35">
      <c r="B3" s="100"/>
      <c r="C3" s="101"/>
      <c r="G3" s="100"/>
      <c r="H3" s="100"/>
      <c r="I3" s="100"/>
      <c r="J3" s="100"/>
      <c r="K3" s="100"/>
      <c r="L3" s="100"/>
    </row>
    <row r="4" spans="2:12" x14ac:dyDescent="0.2">
      <c r="B4" s="311" t="s">
        <v>227</v>
      </c>
      <c r="C4" s="312"/>
      <c r="D4" s="312" t="s">
        <v>228</v>
      </c>
      <c r="E4" s="312"/>
      <c r="F4" s="312"/>
      <c r="G4" s="312"/>
      <c r="H4" s="312" t="s">
        <v>229</v>
      </c>
      <c r="I4" s="312"/>
      <c r="J4" s="312"/>
      <c r="K4" s="312" t="s">
        <v>230</v>
      </c>
      <c r="L4" s="313"/>
    </row>
    <row r="5" spans="2:12" ht="17.25" thickBot="1" x14ac:dyDescent="0.35">
      <c r="B5" s="305"/>
      <c r="C5" s="306"/>
      <c r="D5" s="307"/>
      <c r="E5" s="307"/>
      <c r="F5" s="307"/>
      <c r="G5" s="307"/>
      <c r="H5" s="308"/>
      <c r="I5" s="308"/>
      <c r="J5" s="308"/>
      <c r="K5" s="308"/>
      <c r="L5" s="309"/>
    </row>
    <row r="6" spans="2:12" ht="16.5" x14ac:dyDescent="0.3">
      <c r="B6" s="100"/>
      <c r="C6" s="102"/>
      <c r="G6" s="100"/>
      <c r="H6" s="100"/>
      <c r="I6" s="100"/>
      <c r="J6" s="100"/>
      <c r="K6" s="100"/>
      <c r="L6" s="100"/>
    </row>
    <row r="7" spans="2:12" ht="17.25" thickBot="1" x14ac:dyDescent="0.35">
      <c r="B7" s="100"/>
      <c r="C7" s="102"/>
      <c r="G7" s="100"/>
      <c r="H7" s="100"/>
      <c r="I7" s="100"/>
      <c r="J7" s="100"/>
      <c r="K7" s="100"/>
      <c r="L7" s="100"/>
    </row>
    <row r="8" spans="2:12" x14ac:dyDescent="0.2">
      <c r="B8" s="314" t="s">
        <v>231</v>
      </c>
      <c r="C8" s="315"/>
      <c r="D8" s="315"/>
      <c r="E8" s="316"/>
      <c r="F8" s="314" t="s">
        <v>232</v>
      </c>
      <c r="G8" s="315"/>
      <c r="H8" s="315"/>
      <c r="I8" s="316"/>
      <c r="J8" s="314" t="s">
        <v>233</v>
      </c>
      <c r="K8" s="315"/>
      <c r="L8" s="316"/>
    </row>
    <row r="9" spans="2:12" ht="15.75" x14ac:dyDescent="0.3">
      <c r="B9" s="317"/>
      <c r="C9" s="318"/>
      <c r="D9" s="318"/>
      <c r="E9" s="319"/>
      <c r="F9" s="320"/>
      <c r="G9" s="321"/>
      <c r="H9" s="321"/>
      <c r="I9" s="322"/>
      <c r="J9" s="320"/>
      <c r="K9" s="321"/>
      <c r="L9" s="322"/>
    </row>
    <row r="10" spans="2:12" ht="15.75" x14ac:dyDescent="0.3">
      <c r="B10" s="317"/>
      <c r="C10" s="318"/>
      <c r="D10" s="318"/>
      <c r="E10" s="319"/>
      <c r="F10" s="320"/>
      <c r="G10" s="321"/>
      <c r="H10" s="321"/>
      <c r="I10" s="322"/>
      <c r="J10" s="320"/>
      <c r="K10" s="321"/>
      <c r="L10" s="322"/>
    </row>
    <row r="11" spans="2:12" ht="15.75" x14ac:dyDescent="0.3">
      <c r="B11" s="317"/>
      <c r="C11" s="318"/>
      <c r="D11" s="318"/>
      <c r="E11" s="319"/>
      <c r="F11" s="320"/>
      <c r="G11" s="321"/>
      <c r="H11" s="321"/>
      <c r="I11" s="322"/>
      <c r="J11" s="320"/>
      <c r="K11" s="321"/>
      <c r="L11" s="322"/>
    </row>
    <row r="12" spans="2:12" ht="15.75" x14ac:dyDescent="0.3">
      <c r="B12" s="317"/>
      <c r="C12" s="318"/>
      <c r="D12" s="318"/>
      <c r="E12" s="319"/>
      <c r="F12" s="320"/>
      <c r="G12" s="321"/>
      <c r="H12" s="321"/>
      <c r="I12" s="322"/>
      <c r="J12" s="320"/>
      <c r="K12" s="321"/>
      <c r="L12" s="322"/>
    </row>
    <row r="13" spans="2:12" x14ac:dyDescent="0.2">
      <c r="B13" s="323" t="s">
        <v>234</v>
      </c>
      <c r="C13" s="324"/>
      <c r="D13" s="324"/>
      <c r="E13" s="325"/>
      <c r="F13" s="323" t="s">
        <v>235</v>
      </c>
      <c r="G13" s="324"/>
      <c r="H13" s="324"/>
      <c r="I13" s="325"/>
      <c r="J13" s="323" t="s">
        <v>236</v>
      </c>
      <c r="K13" s="324"/>
      <c r="L13" s="325"/>
    </row>
    <row r="14" spans="2:12" x14ac:dyDescent="0.2">
      <c r="B14" s="323" t="s">
        <v>237</v>
      </c>
      <c r="C14" s="324"/>
      <c r="D14" s="324"/>
      <c r="E14" s="325"/>
      <c r="F14" s="323" t="s">
        <v>238</v>
      </c>
      <c r="G14" s="324"/>
      <c r="H14" s="324"/>
      <c r="I14" s="325"/>
      <c r="J14" s="323" t="s">
        <v>239</v>
      </c>
      <c r="K14" s="324"/>
      <c r="L14" s="325"/>
    </row>
    <row r="15" spans="2:12" ht="16.5" thickBot="1" x14ac:dyDescent="0.35">
      <c r="B15" s="326"/>
      <c r="C15" s="327"/>
      <c r="D15" s="327"/>
      <c r="E15" s="328"/>
      <c r="F15" s="329"/>
      <c r="G15" s="330"/>
      <c r="H15" s="330"/>
      <c r="I15" s="331"/>
      <c r="J15" s="326"/>
      <c r="K15" s="327"/>
      <c r="L15" s="328"/>
    </row>
  </sheetData>
  <mergeCells count="33">
    <mergeCell ref="B14:E14"/>
    <mergeCell ref="F14:I14"/>
    <mergeCell ref="J14:L14"/>
    <mergeCell ref="B15:E15"/>
    <mergeCell ref="F15:I15"/>
    <mergeCell ref="J15:L15"/>
    <mergeCell ref="B12:E12"/>
    <mergeCell ref="F12:I12"/>
    <mergeCell ref="J12:L12"/>
    <mergeCell ref="B13:E13"/>
    <mergeCell ref="F13:I13"/>
    <mergeCell ref="J13:L13"/>
    <mergeCell ref="B10:E10"/>
    <mergeCell ref="F10:I10"/>
    <mergeCell ref="J10:L10"/>
    <mergeCell ref="B11:E11"/>
    <mergeCell ref="F11:I11"/>
    <mergeCell ref="J11:L11"/>
    <mergeCell ref="B8:E8"/>
    <mergeCell ref="F8:I8"/>
    <mergeCell ref="J8:L8"/>
    <mergeCell ref="B9:E9"/>
    <mergeCell ref="F9:I9"/>
    <mergeCell ref="J9:L9"/>
    <mergeCell ref="B5:C5"/>
    <mergeCell ref="D5:G5"/>
    <mergeCell ref="H5:J5"/>
    <mergeCell ref="K5:L5"/>
    <mergeCell ref="C2:L2"/>
    <mergeCell ref="B4:C4"/>
    <mergeCell ref="D4:G4"/>
    <mergeCell ref="H4:J4"/>
    <mergeCell ref="K4:L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heetViews>
  <sheetFormatPr baseColWidth="10" defaultColWidth="12.625" defaultRowHeight="15" customHeight="1" x14ac:dyDescent="0.2"/>
  <cols>
    <col min="1" max="26" width="9.375" customWidth="1"/>
  </cols>
  <sheetData>
    <row r="2" spans="2:5" x14ac:dyDescent="0.25">
      <c r="B2" s="80" t="s">
        <v>192</v>
      </c>
      <c r="E2" s="80" t="s">
        <v>193</v>
      </c>
    </row>
    <row r="3" spans="2:5" x14ac:dyDescent="0.25">
      <c r="B3" s="80" t="s">
        <v>194</v>
      </c>
      <c r="E3" s="80" t="s">
        <v>195</v>
      </c>
    </row>
    <row r="4" spans="2:5" x14ac:dyDescent="0.25">
      <c r="B4" s="80" t="s">
        <v>196</v>
      </c>
      <c r="E4" s="80" t="s">
        <v>197</v>
      </c>
    </row>
    <row r="5" spans="2:5" x14ac:dyDescent="0.25">
      <c r="B5" s="80" t="s">
        <v>198</v>
      </c>
    </row>
    <row r="8" spans="2:5" x14ac:dyDescent="0.25">
      <c r="B8" s="80" t="s">
        <v>199</v>
      </c>
    </row>
    <row r="9" spans="2:5" x14ac:dyDescent="0.25">
      <c r="B9" s="80" t="s">
        <v>200</v>
      </c>
    </row>
    <row r="10" spans="2:5" x14ac:dyDescent="0.25">
      <c r="B10" s="80" t="s">
        <v>201</v>
      </c>
    </row>
    <row r="13" spans="2:5" x14ac:dyDescent="0.25">
      <c r="B13" s="80" t="s">
        <v>202</v>
      </c>
    </row>
    <row r="14" spans="2:5" x14ac:dyDescent="0.25">
      <c r="B14" s="80" t="s">
        <v>203</v>
      </c>
    </row>
    <row r="15" spans="2:5" x14ac:dyDescent="0.25">
      <c r="B15" s="80" t="s">
        <v>204</v>
      </c>
    </row>
    <row r="16" spans="2:5" x14ac:dyDescent="0.25">
      <c r="B16" s="80" t="s">
        <v>205</v>
      </c>
    </row>
    <row r="17" spans="2:2" x14ac:dyDescent="0.25">
      <c r="B17" s="80" t="s">
        <v>206</v>
      </c>
    </row>
    <row r="18" spans="2:2" x14ac:dyDescent="0.25">
      <c r="B18" s="80" t="s">
        <v>207</v>
      </c>
    </row>
    <row r="19" spans="2:2" x14ac:dyDescent="0.25">
      <c r="B19" s="80" t="s">
        <v>208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william ceron</cp:lastModifiedBy>
  <cp:lastPrinted>2023-11-30T22:01:40Z</cp:lastPrinted>
  <dcterms:created xsi:type="dcterms:W3CDTF">2020-03-24T23:12:47Z</dcterms:created>
  <dcterms:modified xsi:type="dcterms:W3CDTF">2025-06-21T01:38:23Z</dcterms:modified>
</cp:coreProperties>
</file>