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esusQuiceno\Desktop\"/>
    </mc:Choice>
  </mc:AlternateContent>
  <bookViews>
    <workbookView xWindow="0" yWindow="0" windowWidth="28800" windowHeight="1233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2" l="1"/>
  <c r="T16" i="2"/>
  <c r="Q17" i="2"/>
  <c r="T17" i="2"/>
  <c r="Q18" i="2"/>
  <c r="T18" i="2"/>
  <c r="Q19" i="2"/>
  <c r="X20" i="2" s="1"/>
  <c r="T19" i="2"/>
  <c r="Q20" i="2"/>
  <c r="T20" i="2"/>
  <c r="Q21" i="2"/>
  <c r="T21" i="2"/>
  <c r="Q22" i="2"/>
  <c r="X23" i="2" s="1"/>
  <c r="T22" i="2"/>
  <c r="Q23" i="2"/>
  <c r="T23" i="2"/>
  <c r="Q24" i="2"/>
  <c r="T24" i="2"/>
  <c r="Q25" i="2"/>
  <c r="X26" i="2" s="1"/>
  <c r="T25" i="2"/>
  <c r="Q26" i="2"/>
  <c r="T26" i="2"/>
  <c r="Q27" i="2"/>
  <c r="T27" i="2"/>
  <c r="Q28" i="2"/>
  <c r="X29" i="2" s="1"/>
  <c r="T28" i="2"/>
  <c r="Q29" i="2"/>
  <c r="T29" i="2"/>
  <c r="Q30" i="2"/>
  <c r="X30" i="2" s="1"/>
  <c r="T30" i="2"/>
  <c r="Q31" i="2"/>
  <c r="X32" i="2" s="1"/>
  <c r="T31" i="2"/>
  <c r="Q32" i="2"/>
  <c r="T32" i="2"/>
  <c r="Q33" i="2"/>
  <c r="X33" i="2" s="1"/>
  <c r="T33" i="2"/>
  <c r="Q34" i="2"/>
  <c r="X35" i="2" s="1"/>
  <c r="T34" i="2"/>
  <c r="Q35" i="2"/>
  <c r="T35" i="2"/>
  <c r="H18" i="2"/>
  <c r="I18" i="2" s="1"/>
  <c r="K18" i="2"/>
  <c r="L18" i="2" s="1"/>
  <c r="M18" i="2" s="1"/>
  <c r="H21" i="2"/>
  <c r="I21" i="2" s="1"/>
  <c r="K21" i="2"/>
  <c r="L21" i="2" s="1"/>
  <c r="M21" i="2" s="1"/>
  <c r="H24" i="2"/>
  <c r="I24" i="2" s="1"/>
  <c r="K24" i="2"/>
  <c r="L24" i="2" s="1"/>
  <c r="M24" i="2" s="1"/>
  <c r="H27" i="2"/>
  <c r="I27" i="2" s="1"/>
  <c r="K27" i="2"/>
  <c r="L27" i="2" s="1"/>
  <c r="H30" i="2"/>
  <c r="I30" i="2"/>
  <c r="K30" i="2"/>
  <c r="L30" i="2"/>
  <c r="M30" i="2"/>
  <c r="N30" i="2"/>
  <c r="H33" i="2"/>
  <c r="I33" i="2"/>
  <c r="K33" i="2"/>
  <c r="L33" i="2"/>
  <c r="M33" i="2"/>
  <c r="N33" i="2"/>
  <c r="K15" i="2"/>
  <c r="T15" i="2"/>
  <c r="H15" i="2"/>
  <c r="X27" i="2" l="1"/>
  <c r="Z27" i="2" s="1"/>
  <c r="M27" i="2"/>
  <c r="N27" i="2"/>
  <c r="X21" i="2"/>
  <c r="Z21" i="2" s="1"/>
  <c r="X18" i="2"/>
  <c r="Z18" i="2" s="1"/>
  <c r="X24" i="2"/>
  <c r="Z24" i="2" s="1"/>
  <c r="Z33" i="2"/>
  <c r="Y33" i="2"/>
  <c r="Z32" i="2"/>
  <c r="Y32" i="2"/>
  <c r="Z26" i="2"/>
  <c r="Y26" i="2"/>
  <c r="Z20" i="2"/>
  <c r="Y20" i="2"/>
  <c r="Y35" i="2"/>
  <c r="Z35" i="2"/>
  <c r="Z30" i="2"/>
  <c r="Y30" i="2"/>
  <c r="AC30" i="2" s="1"/>
  <c r="Z29" i="2"/>
  <c r="Y29" i="2"/>
  <c r="Z23" i="2"/>
  <c r="Y23" i="2"/>
  <c r="AB35" i="2"/>
  <c r="AA35" i="2" s="1"/>
  <c r="AB34" i="2"/>
  <c r="AA34" i="2" s="1"/>
  <c r="X34" i="2"/>
  <c r="AB33" i="2"/>
  <c r="AA33" i="2" s="1"/>
  <c r="AB32" i="2"/>
  <c r="AA32" i="2" s="1"/>
  <c r="AB31" i="2"/>
  <c r="AA31" i="2" s="1"/>
  <c r="X31" i="2"/>
  <c r="AB30" i="2"/>
  <c r="AA30" i="2" s="1"/>
  <c r="AB29" i="2"/>
  <c r="AA29" i="2" s="1"/>
  <c r="AB28" i="2"/>
  <c r="AA28" i="2" s="1"/>
  <c r="X28" i="2"/>
  <c r="AB27" i="2"/>
  <c r="AA27" i="2" s="1"/>
  <c r="AB26" i="2"/>
  <c r="AA26" i="2" s="1"/>
  <c r="AB25" i="2"/>
  <c r="AA25" i="2" s="1"/>
  <c r="X25" i="2"/>
  <c r="AB24" i="2"/>
  <c r="AA24" i="2" s="1"/>
  <c r="AB23" i="2"/>
  <c r="AA23" i="2" s="1"/>
  <c r="AB22" i="2"/>
  <c r="AA22" i="2" s="1"/>
  <c r="X22" i="2"/>
  <c r="AB21" i="2"/>
  <c r="AA21" i="2" s="1"/>
  <c r="AB20" i="2"/>
  <c r="AA20" i="2" s="1"/>
  <c r="AB19" i="2"/>
  <c r="AA19" i="2" s="1"/>
  <c r="X19" i="2"/>
  <c r="AB18" i="2"/>
  <c r="AA18" i="2" s="1"/>
  <c r="N18" i="2"/>
  <c r="N21" i="2"/>
  <c r="N24" i="2"/>
  <c r="AC32" i="2" l="1"/>
  <c r="Y27" i="2"/>
  <c r="AC27" i="2" s="1"/>
  <c r="Y21" i="2"/>
  <c r="AC21" i="2" s="1"/>
  <c r="Y18" i="2"/>
  <c r="AC18" i="2" s="1"/>
  <c r="AC20" i="2"/>
  <c r="Y24" i="2"/>
  <c r="AC24" i="2" s="1"/>
  <c r="AC26" i="2"/>
  <c r="AC23" i="2"/>
  <c r="AC29" i="2"/>
  <c r="AC33" i="2"/>
  <c r="Z19" i="2"/>
  <c r="Y19" i="2"/>
  <c r="AC19" i="2" s="1"/>
  <c r="Z22" i="2"/>
  <c r="Y22" i="2"/>
  <c r="AC22" i="2" s="1"/>
  <c r="Z25" i="2"/>
  <c r="Y25" i="2"/>
  <c r="AC25" i="2" s="1"/>
  <c r="Z28" i="2"/>
  <c r="Y28" i="2"/>
  <c r="AC28" i="2" s="1"/>
  <c r="Z31" i="2"/>
  <c r="Y31" i="2"/>
  <c r="AC31" i="2" s="1"/>
  <c r="AD30" i="2" s="1"/>
  <c r="Z34" i="2"/>
  <c r="Y34" i="2"/>
  <c r="AC34" i="2" s="1"/>
  <c r="AC35" i="2"/>
  <c r="Q15" i="2"/>
  <c r="AD33" i="2" l="1"/>
  <c r="AD27" i="2"/>
  <c r="AD24" i="2"/>
  <c r="AD21" i="2"/>
  <c r="AD18" i="2"/>
  <c r="I15" i="2"/>
  <c r="X15" i="2" l="1"/>
  <c r="Y15" i="2" s="1"/>
  <c r="Z15" i="2" l="1"/>
  <c r="X16" i="2" s="1"/>
  <c r="Y16" i="2" l="1"/>
  <c r="Z16" i="2"/>
  <c r="X17" i="2" s="1"/>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1" i="6"/>
  <c r="B223" i="6"/>
  <c r="B222" i="6"/>
  <c r="Z17" i="2" l="1"/>
  <c r="Y17" i="2"/>
  <c r="L34" i="3"/>
  <c r="J12" i="3"/>
  <c r="AF54" i="4" l="1"/>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P49" i="4" l="1"/>
  <c r="AB51" i="4"/>
  <c r="T14" i="4"/>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V30" i="4"/>
  <c r="AB40" i="4"/>
  <c r="P50" i="4"/>
  <c r="AB10" i="4"/>
  <c r="J20" i="4"/>
  <c r="V50" i="4"/>
  <c r="J10" i="4"/>
  <c r="AH20" i="4"/>
  <c r="V40" i="4"/>
  <c r="P30" i="4"/>
  <c r="AB20" i="4"/>
  <c r="V20" i="4"/>
  <c r="AB30" i="4"/>
  <c r="J40" i="4"/>
  <c r="AH50" i="4"/>
  <c r="P10" i="4"/>
  <c r="V10" i="4"/>
  <c r="AH10" i="4"/>
  <c r="J30" i="4"/>
  <c r="P40" i="4"/>
  <c r="AH40"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V51"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B31" i="4" l="1"/>
  <c r="J51" i="4"/>
  <c r="P31" i="4"/>
  <c r="J31" i="4"/>
  <c r="V31" i="4"/>
  <c r="AH11" i="4"/>
  <c r="P21" i="4"/>
  <c r="AH41" i="4"/>
  <c r="J21" i="4"/>
  <c r="AB21" i="4"/>
  <c r="P41" i="4"/>
  <c r="J11" i="4"/>
  <c r="V21" i="4"/>
  <c r="P11" i="4"/>
  <c r="V41" i="4"/>
  <c r="AH31" i="4"/>
  <c r="AB41" i="4"/>
  <c r="AH51" i="4"/>
  <c r="V11" i="4"/>
  <c r="AH21" i="4"/>
  <c r="AB11" i="4"/>
  <c r="J41" i="4"/>
  <c r="P51" i="4"/>
  <c r="AC7" i="4"/>
  <c r="W27" i="4"/>
  <c r="Q27" i="4"/>
  <c r="W17" i="4"/>
  <c r="Q37" i="4"/>
  <c r="AI47" i="4"/>
  <c r="AC27" i="4"/>
  <c r="K17" i="4"/>
  <c r="AI27" i="4"/>
  <c r="AI37" i="4"/>
  <c r="W7" i="4"/>
  <c r="Q7" i="4"/>
  <c r="AI17" i="4"/>
  <c r="K37" i="4"/>
  <c r="W47" i="4"/>
  <c r="K7" i="4"/>
  <c r="AC17" i="4"/>
  <c r="Q17" i="4"/>
  <c r="K27" i="4"/>
  <c r="AC37" i="4"/>
  <c r="K47" i="4"/>
  <c r="R27" i="4"/>
  <c r="AH9" i="4"/>
  <c r="AB49" i="4"/>
  <c r="V49" i="4"/>
  <c r="AH49" i="4"/>
  <c r="AH19" i="4"/>
  <c r="AB9" i="4"/>
  <c r="P29" i="4"/>
  <c r="V19" i="4"/>
  <c r="J39" i="4"/>
  <c r="P9" i="4"/>
  <c r="V29" i="4"/>
  <c r="V39" i="4"/>
  <c r="AB19" i="4"/>
  <c r="P39" i="4"/>
  <c r="J9" i="4"/>
  <c r="J19" i="4"/>
  <c r="AH29" i="4"/>
  <c r="AB29" i="4"/>
  <c r="J49" i="4"/>
  <c r="V9" i="4"/>
  <c r="AH39" i="4"/>
  <c r="J29" i="4"/>
  <c r="P19" i="4"/>
  <c r="AB39" i="4"/>
  <c r="AD10" i="4" l="1"/>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R50" i="4"/>
  <c r="X30" i="4"/>
  <c r="AJ30" i="4"/>
  <c r="L20" i="4"/>
  <c r="AJ40"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Q38" i="4"/>
  <c r="R18" i="4"/>
  <c r="X47" i="4"/>
  <c r="L37" i="4"/>
  <c r="L17" i="4"/>
  <c r="X37" i="4"/>
  <c r="AD17" i="4"/>
  <c r="R17" i="4"/>
  <c r="AD27" i="4"/>
  <c r="R47" i="4"/>
  <c r="L47" i="4"/>
  <c r="AD47" i="4"/>
  <c r="AJ47" i="4"/>
  <c r="X27" i="4"/>
  <c r="AD37" i="4"/>
  <c r="X7" i="4"/>
  <c r="AJ27" i="4"/>
  <c r="AJ37" i="4"/>
  <c r="R37" i="4"/>
  <c r="L7" i="4"/>
  <c r="AJ7" i="4"/>
  <c r="AD7" i="4"/>
  <c r="L27" i="4"/>
  <c r="R7" i="4"/>
  <c r="X17" i="4"/>
  <c r="AJ17" i="4"/>
  <c r="R39" i="4"/>
  <c r="AI49" i="4"/>
  <c r="W49" i="4"/>
  <c r="AI29" i="4"/>
  <c r="W19" i="4"/>
  <c r="Q19" i="4"/>
  <c r="W9" i="4"/>
  <c r="W39" i="4"/>
  <c r="Q39" i="4"/>
  <c r="AI19" i="4"/>
  <c r="AI9" i="4"/>
  <c r="K49" i="4"/>
  <c r="AI39" i="4"/>
  <c r="W29" i="4"/>
  <c r="K19" i="4"/>
  <c r="Q29" i="4"/>
  <c r="K9" i="4"/>
  <c r="AC49" i="4"/>
  <c r="K29" i="4"/>
  <c r="AC9" i="4"/>
  <c r="AC29" i="4"/>
  <c r="Q49" i="4"/>
  <c r="K39" i="4"/>
  <c r="Q9" i="4"/>
  <c r="AC39" i="4"/>
  <c r="AC1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C28" i="4"/>
  <c r="W8" i="4"/>
  <c r="AI8" i="4"/>
  <c r="Q48" i="4"/>
  <c r="AI38" i="4"/>
  <c r="K8" i="4"/>
  <c r="K48" i="4"/>
  <c r="K38" i="4"/>
  <c r="AC18" i="4"/>
  <c r="W48" i="4"/>
  <c r="AI28" i="4"/>
  <c r="AC48" i="4"/>
  <c r="K28" i="4"/>
  <c r="K18" i="4"/>
  <c r="AC8" i="4"/>
  <c r="Q28" i="4"/>
  <c r="Q18" i="4"/>
  <c r="AI48" i="4"/>
  <c r="W38" i="4"/>
  <c r="Q8" i="4"/>
  <c r="AC38" i="4"/>
  <c r="W18" i="4"/>
  <c r="AI18" i="4"/>
  <c r="W28"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N6" i="3" l="1"/>
  <c r="L15" i="2"/>
  <c r="N15"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J38" i="3" l="1"/>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X24" i="3"/>
  <c r="X8" i="3"/>
  <c r="R32" i="3"/>
  <c r="L8" i="3"/>
  <c r="AJ40" i="3"/>
  <c r="AD32" i="3"/>
  <c r="AJ8" i="3"/>
  <c r="L16" i="3"/>
  <c r="L32" i="3"/>
  <c r="X16" i="3"/>
  <c r="AD24" i="3"/>
  <c r="M15" i="2"/>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B15" i="2" l="1"/>
  <c r="AB16" i="2" s="1"/>
  <c r="J47" i="4"/>
  <c r="AH27" i="4"/>
  <c r="J27" i="4"/>
  <c r="AB37" i="4"/>
  <c r="AB27" i="4"/>
  <c r="AB17" i="4"/>
  <c r="V47" i="4"/>
  <c r="V37" i="4"/>
  <c r="P27" i="4"/>
  <c r="P47" i="4"/>
  <c r="AH37" i="4"/>
  <c r="V27" i="4"/>
  <c r="AH7" i="4"/>
  <c r="AH17" i="4"/>
  <c r="AB47" i="4"/>
  <c r="P17" i="4"/>
  <c r="J17" i="4"/>
  <c r="J37" i="4"/>
  <c r="V17" i="4"/>
  <c r="J7" i="4"/>
  <c r="P37" i="4"/>
  <c r="P7" i="4"/>
  <c r="AH47" i="4"/>
  <c r="AB7" i="4"/>
  <c r="V7" i="4"/>
  <c r="J18" i="4"/>
  <c r="V48" i="4"/>
  <c r="J8" i="4"/>
  <c r="P18" i="4"/>
  <c r="V18" i="4"/>
  <c r="V28" i="4"/>
  <c r="P48" i="4"/>
  <c r="AH18" i="4"/>
  <c r="AB8" i="4"/>
  <c r="AB18" i="4"/>
  <c r="V8" i="4"/>
  <c r="AH38" i="4"/>
  <c r="P8" i="4"/>
  <c r="AB38" i="4"/>
  <c r="J38" i="4"/>
  <c r="AH28" i="4"/>
  <c r="AB28" i="4"/>
  <c r="AB48" i="4"/>
  <c r="AH8" i="4"/>
  <c r="J48" i="4"/>
  <c r="V38" i="4"/>
  <c r="P38" i="4"/>
  <c r="J28" i="4"/>
  <c r="AH48" i="4"/>
  <c r="P28" i="4"/>
  <c r="T27" i="4"/>
  <c r="AF7" i="4"/>
  <c r="T37" i="4"/>
  <c r="Z27" i="4"/>
  <c r="N7" i="4"/>
  <c r="Z7" i="4"/>
  <c r="AF37" i="4"/>
  <c r="AL27" i="4"/>
  <c r="N37" i="4"/>
  <c r="N17" i="4"/>
  <c r="AF27" i="4"/>
  <c r="Z47" i="4"/>
  <c r="AL17" i="4"/>
  <c r="AL7" i="4"/>
  <c r="Z17" i="4"/>
  <c r="AF47" i="4"/>
  <c r="N27" i="4"/>
  <c r="AL47" i="4"/>
  <c r="T47" i="4"/>
  <c r="Z37" i="4"/>
  <c r="AL37" i="4"/>
  <c r="N47" i="4"/>
  <c r="T17" i="4"/>
  <c r="AF17" i="4"/>
  <c r="T7" i="4"/>
  <c r="AM17" i="4"/>
  <c r="O7" i="4"/>
  <c r="AG7" i="4"/>
  <c r="AG17" i="4"/>
  <c r="AA47" i="4"/>
  <c r="AA7" i="4"/>
  <c r="AA27" i="4"/>
  <c r="AG27" i="4"/>
  <c r="AM7" i="4"/>
  <c r="U27" i="4"/>
  <c r="AG47" i="4"/>
  <c r="U7" i="4"/>
  <c r="O47" i="4"/>
  <c r="U17" i="4"/>
  <c r="AG37" i="4"/>
  <c r="U47" i="4"/>
  <c r="O37" i="4"/>
  <c r="AM47" i="4"/>
  <c r="O27" i="4"/>
  <c r="AA37" i="4"/>
  <c r="AM37" i="4"/>
  <c r="O17" i="4"/>
  <c r="AM27" i="4"/>
  <c r="U37" i="4"/>
  <c r="AA17" i="4"/>
  <c r="AA16" i="2" l="1"/>
  <c r="AC16" i="2" s="1"/>
  <c r="AB17" i="2"/>
  <c r="AA17" i="2" s="1"/>
  <c r="AC17" i="2" s="1"/>
  <c r="AA15" i="2"/>
  <c r="W46" i="4" l="1"/>
  <c r="Q16" i="4"/>
  <c r="AI36" i="4"/>
  <c r="Q36" i="4"/>
  <c r="W16" i="4"/>
  <c r="Q26" i="4"/>
  <c r="W26" i="4"/>
  <c r="AI6" i="4"/>
  <c r="AI26" i="4"/>
  <c r="K36" i="4"/>
  <c r="W6" i="4"/>
  <c r="AC26" i="4"/>
  <c r="W36" i="4"/>
  <c r="AC46" i="4"/>
  <c r="AC36" i="4"/>
  <c r="Q6" i="4"/>
  <c r="AI46" i="4"/>
  <c r="K16" i="4"/>
  <c r="K46" i="4"/>
  <c r="AI16" i="4"/>
  <c r="K6" i="4"/>
  <c r="AC6" i="4"/>
  <c r="AC16" i="4"/>
  <c r="K26" i="4"/>
  <c r="Q46" i="4"/>
  <c r="L46" i="4"/>
  <c r="X6" i="4"/>
  <c r="X36" i="4"/>
  <c r="AD6" i="4"/>
  <c r="AJ36" i="4"/>
  <c r="L26" i="4"/>
  <c r="L6" i="4"/>
  <c r="R6" i="4"/>
  <c r="AJ26" i="4"/>
  <c r="R36" i="4"/>
  <c r="AD36" i="4"/>
  <c r="X46" i="4"/>
  <c r="L16" i="4"/>
  <c r="R46" i="4"/>
  <c r="AD26" i="4"/>
  <c r="AJ6" i="4"/>
  <c r="AJ16" i="4"/>
  <c r="AD16" i="4"/>
  <c r="R26" i="4"/>
  <c r="X16" i="4"/>
  <c r="AD46" i="4"/>
  <c r="L36" i="4"/>
  <c r="R16" i="4"/>
  <c r="AJ46" i="4"/>
  <c r="X26" i="4"/>
  <c r="V16" i="4"/>
  <c r="J46" i="4"/>
  <c r="J16" i="4"/>
  <c r="AB6" i="4"/>
  <c r="AC15" i="2"/>
  <c r="AD15" i="2" s="1"/>
  <c r="P46" i="4"/>
  <c r="AH36" i="4"/>
  <c r="V36" i="4"/>
  <c r="AB26" i="4"/>
  <c r="P6" i="4"/>
  <c r="AB46" i="4"/>
  <c r="P36" i="4"/>
  <c r="AH26" i="4"/>
  <c r="V6" i="4"/>
  <c r="J36" i="4"/>
  <c r="V46" i="4"/>
  <c r="J6" i="4"/>
  <c r="J26" i="4"/>
  <c r="P26" i="4"/>
  <c r="AH16" i="4"/>
  <c r="AH46" i="4"/>
  <c r="AB36" i="4"/>
  <c r="V26" i="4"/>
  <c r="AH6" i="4"/>
  <c r="P16" i="4"/>
  <c r="AB16" i="4"/>
</calcChain>
</file>

<file path=xl/sharedStrings.xml><?xml version="1.0" encoding="utf-8"?>
<sst xmlns="http://schemas.openxmlformats.org/spreadsheetml/2006/main" count="321" uniqueCount="235">
  <si>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</si>
  <si>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</si>
  <si>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</si>
  <si>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</si>
  <si>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</si>
  <si>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</si>
  <si>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</si>
  <si>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</si>
  <si>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</si>
  <si>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</si>
  <si>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</si>
  <si>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</si>
  <si>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</si>
  <si>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</si>
  <si>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</si>
  <si>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</si>
  <si>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</si>
  <si>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</si>
  <si>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</si>
  <si>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</si>
  <si>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</si>
  <si>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</si>
  <si>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</si>
  <si>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</si>
  <si>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</si>
  <si>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</si>
  <si>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</si>
  <si>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</si>
  <si>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</si>
  <si>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</si>
  <si>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</si>
  <si>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</si>
  <si>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</si>
  <si>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</si>
  <si>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</si>
  <si>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</si>
  <si>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</si>
  <si>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</si>
  <si>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</si>
  <si>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</si>
  <si>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</si>
  <si>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</si>
  <si>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</si>
  <si>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</si>
  <si>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</si>
  <si>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</si>
  <si>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</si>
  <si>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</si>
  <si>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</si>
  <si>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</si>
  <si>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</si>
  <si>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</si>
  <si>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</si>
  <si>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</si>
  <si>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</si>
  <si>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</si>
  <si>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Identificación del riesgo</t>
  </si>
  <si>
    <t>Análisis del riesgo inherente</t>
  </si>
  <si>
    <t>Evaluación del riesgo - Valoración de los controles</t>
  </si>
  <si>
    <t>Evaluación del riesgo - Nivel del riesgo residual</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</si>
  <si>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</si>
  <si>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</si>
  <si>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</si>
  <si>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</si>
  <si>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</si>
  <si>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</si>
  <si>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</si>
  <si>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</si>
  <si>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</si>
  <si>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</si>
  <si>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</si>
  <si>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</si>
  <si>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</si>
  <si>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Tipo</t>
  </si>
  <si>
    <t>Implementación</t>
  </si>
  <si>
    <t>Calificación</t>
  </si>
  <si>
    <t>Documentación</t>
  </si>
  <si>
    <t>Frecuencia</t>
  </si>
  <si>
    <t>Evidencia</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</si>
  <si>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</si>
  <si>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</si>
  <si>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</si>
  <si>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</si>
  <si>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</si>
  <si>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</si>
  <si>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</si>
  <si>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</si>
  <si>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</si>
  <si>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</si>
  <si>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</si>
  <si>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</si>
  <si>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</si>
  <si>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</si>
  <si>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</si>
  <si>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</si>
  <si>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</si>
  <si>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</si>
  <si>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</si>
  <si>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</si>
  <si>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</si>
  <si>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</si>
  <si>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</si>
  <si>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</si>
  <si>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</si>
  <si>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</si>
  <si>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</si>
  <si>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</si>
  <si>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</si>
  <si>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</si>
  <si>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</si>
  <si>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</si>
  <si>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</si>
  <si>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</si>
  <si>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</si>
  <si>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</si>
  <si>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</si>
  <si>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</si>
  <si>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</si>
  <si>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</si>
  <si>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</si>
  <si>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</si>
  <si>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</si>
  <si>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</si>
  <si>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</si>
  <si>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</si>
  <si>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</si>
  <si>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</si>
  <si>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</si>
  <si>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</si>
  <si>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</si>
  <si>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</si>
  <si>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</si>
  <si>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</si>
  <si>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</si>
  <si>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</si>
  <si>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</si>
  <si>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</si>
  <si>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</si>
  <si>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</si>
  <si>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</si>
  <si>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</si>
  <si>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</si>
  <si>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</si>
  <si>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</si>
  <si>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</si>
  <si>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</si>
  <si>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</si>
  <si>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</si>
  <si>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</si>
  <si>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</si>
  <si>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</si>
  <si>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</si>
  <si>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</si>
  <si>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</si>
  <si>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</si>
  <si>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</si>
  <si>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</si>
  <si>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</si>
  <si>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</si>
  <si>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</si>
  <si>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</si>
  <si>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</si>
  <si>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</si>
  <si>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</si>
  <si>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</si>
  <si>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</si>
  <si>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</si>
  <si>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</si>
  <si>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</si>
  <si>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</si>
  <si>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</si>
  <si>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</si>
  <si>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</si>
  <si>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</si>
  <si>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</si>
  <si>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</si>
  <si>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</si>
  <si>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</si>
  <si>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</si>
  <si>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</si>
  <si>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</si>
  <si>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</si>
  <si>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</si>
  <si>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</si>
  <si>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</si>
  <si>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</si>
  <si>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</si>
  <si>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</si>
  <si>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</si>
  <si>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</si>
  <si>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</si>
  <si>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</si>
  <si>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</si>
  <si>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</si>
  <si>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</si>
  <si>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</si>
  <si>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</si>
  <si>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</si>
  <si>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</si>
  <si>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</si>
  <si>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</si>
  <si>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</si>
  <si>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t>FECHA</t>
  </si>
  <si>
    <t>VERSIÓN</t>
  </si>
  <si>
    <t>CÓDIGO</t>
  </si>
  <si>
    <t>PÁGINA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</si>
  <si>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</si>
  <si>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</si>
  <si>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</si>
  <si>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</si>
  <si>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</si>
  <si>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</si>
  <si>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</si>
  <si>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</si>
  <si>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</si>
  <si>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</si>
  <si>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</si>
  <si>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</si>
  <si>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</si>
  <si>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</si>
  <si>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</si>
  <si>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</si>
  <si>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MAPA DE RIESGOS FISCALES</t>
  </si>
  <si>
    <t>gf_f_136</t>
  </si>
  <si>
    <t>03</t>
  </si>
  <si>
    <t>PROCESO GESTIÓN FINANCIERA</t>
  </si>
  <si>
    <t>1 de 1</t>
  </si>
  <si>
    <t>Area de Impacto</t>
  </si>
  <si>
    <t>Economico</t>
  </si>
  <si>
    <t>Un bien público</t>
  </si>
  <si>
    <t>Un recurso público</t>
  </si>
  <si>
    <t xml:space="preserve">Un interes patrimonial de naturaleza pública </t>
  </si>
  <si>
    <t>Area de impacto</t>
  </si>
  <si>
    <t>Dentro del contexto de Riesgo Fiscal, el área de impacto siempre corresponderá a una consecuencia económica sobre el patrimonio público, a la cual se vería expuesta la organización en caso de materializarse el riesgo. Dicha consecuencia económica, será respecto de:Un bien público, Un recurso público, y/o Un interés patrimonial de naturaleza pública.</t>
  </si>
  <si>
    <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</si>
</sst>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5"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amily val="2"/>
    </font>
    <font>
      <b/>
      <sz val="11"/>
      <color theme="1"/>
      <name val="Arial Narrow"/>
      <family val="2"/>
    </font>
    <font>
      <sz val="10"/>
      <color theme="1"/>
      <name val="Century Gothic"/>
      <family val="2"/>
    </font>
    <font>
      <sz val="11"/>
      <color theme="1"/>
      <name val="Arial"/>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s>
  <borders count="130">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rgb="FFE36C09"/>
      </top>
      <bottom/>
      <diagonal/>
    </border>
    <border>
      <left style="thin">
        <color indexed="64"/>
      </left>
      <right style="thin">
        <color indexed="64"/>
      </right>
      <top/>
      <bottom style="dotted">
        <color rgb="FFE36C09"/>
      </bottom>
      <diagonal/>
    </border>
  </borders>
  <cellStyleXfs count="1">
    <xf numFmtId="0" fontId="0" fillId="0" borderId="0"/>
  </cellStyleXfs>
  <cellXfs count="341">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8" fillId="0" borderId="0" xfId="0" applyFont="1"/>
    <xf numFmtId="0" fontId="53"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textRotation="90"/>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61" fillId="2" borderId="52" xfId="0" applyFont="1" applyFill="1" applyBorder="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1" fillId="0" borderId="103" xfId="0" applyFont="1" applyBorder="1" applyAlignment="1" applyProtection="1">
      <alignment horizontal="center" vertical="center"/>
      <protection locked="0"/>
    </xf>
    <xf numFmtId="0" fontId="0" fillId="0" borderId="0" xfId="0"/>
    <xf numFmtId="0" fontId="51" fillId="0" borderId="122"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1" fillId="0" borderId="123" xfId="0" applyFont="1" applyBorder="1" applyAlignment="1" applyProtection="1">
      <alignment horizontal="center" vertical="center" textRotation="90"/>
      <protection locked="0"/>
    </xf>
    <xf numFmtId="0" fontId="51" fillId="0" borderId="106" xfId="0" applyFont="1" applyBorder="1" applyAlignment="1">
      <alignment horizontal="center" vertical="center"/>
    </xf>
    <xf numFmtId="0" fontId="51" fillId="0" borderId="105" xfId="0" applyFont="1" applyBorder="1" applyAlignment="1">
      <alignment horizontal="center" vertical="center"/>
    </xf>
    <xf numFmtId="0" fontId="51" fillId="0" borderId="107" xfId="0" applyFont="1" applyBorder="1" applyAlignment="1">
      <alignment horizontal="center" vertical="center"/>
    </xf>
    <xf numFmtId="0" fontId="51" fillId="0" borderId="111" xfId="0" applyFont="1" applyBorder="1" applyAlignment="1">
      <alignment horizontal="center" vertical="center"/>
    </xf>
    <xf numFmtId="0" fontId="51" fillId="0" borderId="52" xfId="0" applyFont="1" applyBorder="1" applyAlignment="1">
      <alignment horizontal="center" vertical="center"/>
    </xf>
    <xf numFmtId="0" fontId="51" fillId="0" borderId="112" xfId="0" applyFont="1" applyBorder="1" applyAlignment="1">
      <alignment horizontal="center" vertical="center"/>
    </xf>
    <xf numFmtId="0" fontId="51" fillId="0" borderId="108"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6" fillId="0" borderId="104" xfId="0" applyFont="1" applyBorder="1" applyAlignment="1">
      <alignment horizontal="center" vertical="center"/>
    </xf>
    <xf numFmtId="0" fontId="57" fillId="0" borderId="105" xfId="0" applyFont="1" applyBorder="1" applyAlignment="1">
      <alignment horizontal="left" vertical="center"/>
    </xf>
    <xf numFmtId="0" fontId="57" fillId="0" borderId="107" xfId="0" applyFont="1" applyBorder="1" applyAlignment="1">
      <alignment horizontal="left" vertical="center"/>
    </xf>
    <xf numFmtId="0" fontId="56" fillId="0" borderId="109" xfId="0" applyFont="1" applyBorder="1" applyAlignment="1">
      <alignment horizontal="center" vertical="center"/>
    </xf>
    <xf numFmtId="0" fontId="56" fillId="0" borderId="52" xfId="0" applyFont="1" applyBorder="1" applyAlignment="1">
      <alignment horizontal="center" vertical="center"/>
    </xf>
    <xf numFmtId="0" fontId="56" fillId="0" borderId="110" xfId="0" applyFont="1" applyBorder="1" applyAlignment="1">
      <alignment horizontal="center" vertical="center"/>
    </xf>
    <xf numFmtId="0" fontId="55" fillId="0" borderId="106" xfId="0" applyFont="1" applyBorder="1" applyAlignment="1">
      <alignment horizontal="center" vertical="center"/>
    </xf>
    <xf numFmtId="0" fontId="55" fillId="0" borderId="105" xfId="0" applyFont="1" applyBorder="1" applyAlignment="1">
      <alignment horizontal="center" vertical="center"/>
    </xf>
    <xf numFmtId="15" fontId="59" fillId="0" borderId="108" xfId="0" applyNumberFormat="1" applyFont="1" applyBorder="1" applyAlignment="1">
      <alignment horizontal="center" vertical="center"/>
    </xf>
    <xf numFmtId="0" fontId="59" fillId="0" borderId="109" xfId="0" applyFont="1" applyBorder="1" applyAlignment="1">
      <alignment horizontal="center" vertical="center"/>
    </xf>
    <xf numFmtId="0" fontId="55" fillId="0" borderId="107" xfId="0" applyFont="1" applyBorder="1" applyAlignment="1">
      <alignment horizontal="center" vertical="center"/>
    </xf>
    <xf numFmtId="49" fontId="59" fillId="0" borderId="108" xfId="0" applyNumberFormat="1" applyFont="1" applyBorder="1" applyAlignment="1">
      <alignment horizontal="center" vertical="center"/>
    </xf>
    <xf numFmtId="49" fontId="59" fillId="0" borderId="109" xfId="0" applyNumberFormat="1" applyFont="1" applyBorder="1" applyAlignment="1">
      <alignment horizontal="center" vertical="center"/>
    </xf>
    <xf numFmtId="49" fontId="59" fillId="0" borderId="110" xfId="0" applyNumberFormat="1" applyFont="1" applyBorder="1" applyAlignment="1">
      <alignment horizontal="center" vertical="center"/>
    </xf>
    <xf numFmtId="0" fontId="59" fillId="0" borderId="110" xfId="0" applyFont="1" applyBorder="1" applyAlignment="1">
      <alignment horizontal="center" vertical="center"/>
    </xf>
    <xf numFmtId="0" fontId="59" fillId="0" borderId="108" xfId="0" applyFont="1" applyBorder="1" applyAlignment="1">
      <alignment horizontal="center" vertical="center"/>
    </xf>
    <xf numFmtId="9" fontId="51" fillId="0" borderId="103" xfId="0" applyNumberFormat="1"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9" fontId="51" fillId="0" borderId="103" xfId="0" applyNumberFormat="1" applyFont="1" applyBorder="1" applyAlignment="1">
      <alignment horizontal="center" vertical="center" wrapText="1"/>
    </xf>
    <xf numFmtId="0" fontId="52" fillId="0" borderId="103" xfId="0" applyFont="1" applyBorder="1" applyAlignment="1">
      <alignment horizontal="center" vertical="center"/>
    </xf>
    <xf numFmtId="0" fontId="50" fillId="0" borderId="103" xfId="0" applyFont="1" applyBorder="1" applyAlignment="1">
      <alignment horizontal="center" vertical="center" wrapText="1"/>
    </xf>
    <xf numFmtId="0" fontId="50" fillId="0" borderId="103" xfId="0" applyFont="1" applyBorder="1" applyAlignment="1">
      <alignment horizontal="center" vertical="center"/>
    </xf>
    <xf numFmtId="0" fontId="51" fillId="0" borderId="103" xfId="0" applyFont="1" applyBorder="1" applyAlignment="1" applyProtection="1">
      <alignment horizontal="center" vertical="center"/>
      <protection locked="0"/>
    </xf>
    <xf numFmtId="0" fontId="51" fillId="0" borderId="122"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0" borderId="12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wrapText="1"/>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xf>
    <xf numFmtId="0" fontId="50" fillId="4" borderId="103" xfId="0" applyFont="1" applyFill="1" applyBorder="1" applyAlignment="1">
      <alignment horizontal="center" vertical="center" textRotation="90" wrapText="1"/>
    </xf>
    <xf numFmtId="0" fontId="51" fillId="0" borderId="122"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51" fillId="0" borderId="123" xfId="0" applyFont="1" applyBorder="1" applyAlignment="1" applyProtection="1">
      <alignment horizontal="center" vertical="center"/>
      <protection locked="0"/>
    </xf>
    <xf numFmtId="0" fontId="62" fillId="0" borderId="52" xfId="0" applyFont="1" applyBorder="1" applyAlignment="1">
      <alignment horizontal="center" vertical="center" textRotation="90" wrapText="1"/>
    </xf>
    <xf numFmtId="0" fontId="50" fillId="4" borderId="122" xfId="0" applyFont="1" applyFill="1" applyBorder="1" applyAlignment="1">
      <alignment horizontal="center" vertical="center" textRotation="90" wrapText="1"/>
    </xf>
    <xf numFmtId="0" fontId="50" fillId="4" borderId="123" xfId="0" applyFon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6" fillId="7" borderId="45" xfId="0" applyFont="1" applyFill="1" applyBorder="1" applyAlignment="1">
      <alignment horizontal="center" vertical="center" wrapText="1" readingOrder="1"/>
    </xf>
    <xf numFmtId="0" fontId="3" fillId="0" borderId="53" xfId="0" applyFont="1" applyBorder="1"/>
    <xf numFmtId="0" fontId="3" fillId="0" borderId="50" xfId="0" applyFont="1" applyBorder="1"/>
    <xf numFmtId="0" fontId="3" fillId="0" borderId="63" xfId="0" applyFont="1" applyBorder="1"/>
    <xf numFmtId="0" fontId="16" fillId="8" borderId="66" xfId="0" applyFont="1" applyFill="1" applyBorder="1" applyAlignment="1">
      <alignment horizontal="center" wrapText="1" readingOrder="1"/>
    </xf>
    <xf numFmtId="0" fontId="3" fillId="0" borderId="47" xfId="0" applyFont="1" applyBorder="1"/>
    <xf numFmtId="0" fontId="3" fillId="0" borderId="62" xfId="0" applyFont="1" applyBorder="1"/>
    <xf numFmtId="0" fontId="3" fillId="0" borderId="52" xfId="0" applyFont="1" applyBorder="1"/>
    <xf numFmtId="0" fontId="16" fillId="8" borderId="45" xfId="0" applyFont="1" applyFill="1" applyBorder="1" applyAlignment="1">
      <alignment horizontal="center" wrapText="1" readingOrder="1"/>
    </xf>
    <xf numFmtId="0" fontId="16" fillId="7" borderId="54" xfId="0" applyFont="1" applyFill="1" applyBorder="1" applyAlignment="1">
      <alignment horizontal="center" vertical="center" wrapText="1" readingOrder="1"/>
    </xf>
    <xf numFmtId="0" fontId="3" fillId="0" borderId="57" xfId="0" applyFont="1" applyBorder="1"/>
    <xf numFmtId="0" fontId="16" fillId="7" borderId="58" xfId="0" applyFont="1" applyFill="1" applyBorder="1" applyAlignment="1">
      <alignment horizontal="center" vertical="center" wrapText="1" readingOrder="1"/>
    </xf>
    <xf numFmtId="0" fontId="16" fillId="7" borderId="66"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3" fillId="0" borderId="67" xfId="0" applyFont="1" applyBorder="1"/>
    <xf numFmtId="0" fontId="3" fillId="0" borderId="70" xfId="0" applyFont="1" applyBorder="1"/>
    <xf numFmtId="0" fontId="3" fillId="0" borderId="71" xfId="0" applyFont="1" applyBorder="1"/>
    <xf numFmtId="0" fontId="3" fillId="0" borderId="69" xfId="0" applyFont="1" applyBorder="1"/>
    <xf numFmtId="0" fontId="16" fillId="9" borderId="58" xfId="0" applyFont="1" applyFill="1" applyBorder="1" applyAlignment="1">
      <alignment horizontal="center" wrapText="1" readingOrder="1"/>
    </xf>
    <xf numFmtId="0" fontId="3" fillId="0" borderId="56" xfId="0" applyFont="1" applyBorder="1"/>
    <xf numFmtId="0" fontId="16" fillId="9" borderId="54" xfId="0" applyFont="1" applyFill="1" applyBorder="1" applyAlignment="1">
      <alignment horizontal="center" wrapText="1" readingOrder="1"/>
    </xf>
    <xf numFmtId="0" fontId="16" fillId="8" borderId="54"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66" xfId="0" applyFont="1" applyFill="1" applyBorder="1" applyAlignment="1">
      <alignment horizontal="center" wrapText="1" readingOrder="1"/>
    </xf>
    <xf numFmtId="0" fontId="17" fillId="10"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7" fillId="8" borderId="59" xfId="0" applyFont="1" applyFill="1" applyBorder="1" applyAlignment="1">
      <alignment horizontal="center" vertic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8" xfId="0" applyFont="1" applyBorder="1"/>
    <xf numFmtId="0" fontId="16" fillId="10"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6" fillId="10" borderId="58"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9" fillId="0" borderId="54"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4" fillId="0" borderId="111"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112" xfId="0" applyFont="1" applyBorder="1" applyAlignment="1">
      <alignment horizontal="center" vertical="center" wrapText="1"/>
    </xf>
    <xf numFmtId="0" fontId="58" fillId="0" borderId="108" xfId="0" applyFont="1" applyBorder="1"/>
    <xf numFmtId="0" fontId="58" fillId="0" borderId="109" xfId="0" applyFont="1" applyBorder="1"/>
    <xf numFmtId="0" fontId="58" fillId="0" borderId="110" xfId="0" applyFont="1" applyBorder="1"/>
    <xf numFmtId="0" fontId="0" fillId="0" borderId="108" xfId="0" applyBorder="1" applyAlignment="1">
      <alignment vertical="top" wrapText="1"/>
    </xf>
    <xf numFmtId="0" fontId="0" fillId="0" borderId="109" xfId="0" applyBorder="1" applyAlignment="1">
      <alignment vertical="top" wrapText="1"/>
    </xf>
    <xf numFmtId="0" fontId="0" fillId="0" borderId="110" xfId="0" applyBorder="1" applyAlignment="1">
      <alignment vertical="top" wrapText="1"/>
    </xf>
    <xf numFmtId="0" fontId="58" fillId="0" borderId="111" xfId="0" applyFont="1" applyBorder="1"/>
    <xf numFmtId="0" fontId="58" fillId="0" borderId="52" xfId="0" applyFont="1" applyBorder="1"/>
    <xf numFmtId="0" fontId="58" fillId="0" borderId="112" xfId="0" applyFont="1" applyBorder="1"/>
    <xf numFmtId="0" fontId="54" fillId="0" borderId="111" xfId="0" applyFont="1" applyBorder="1" applyAlignment="1">
      <alignment horizontal="justify" vertical="center" wrapText="1"/>
    </xf>
    <xf numFmtId="0" fontId="54" fillId="0" borderId="52" xfId="0" applyFont="1" applyBorder="1" applyAlignment="1">
      <alignment horizontal="justify" vertical="center" wrapText="1"/>
    </xf>
    <xf numFmtId="0" fontId="54" fillId="0" borderId="112" xfId="0" applyFont="1" applyBorder="1" applyAlignment="1">
      <alignment horizontal="justify" vertical="center" wrapText="1"/>
    </xf>
    <xf numFmtId="0" fontId="54" fillId="0" borderId="106" xfId="0" applyFont="1" applyBorder="1" applyAlignment="1">
      <alignment horizontal="justify" vertical="center" wrapText="1"/>
    </xf>
    <xf numFmtId="0" fontId="54" fillId="0" borderId="105" xfId="0" applyFont="1" applyBorder="1" applyAlignment="1">
      <alignment horizontal="justify" vertical="center" wrapText="1"/>
    </xf>
    <xf numFmtId="0" fontId="54" fillId="0" borderId="107" xfId="0" applyFont="1" applyBorder="1" applyAlignment="1">
      <alignment horizontal="justify" vertical="center" wrapText="1"/>
    </xf>
    <xf numFmtId="0" fontId="58" fillId="0" borderId="116" xfId="0" applyFont="1" applyBorder="1"/>
    <xf numFmtId="0" fontId="58" fillId="0" borderId="117" xfId="0" applyFont="1" applyBorder="1"/>
    <xf numFmtId="0" fontId="51" fillId="0" borderId="117" xfId="0" applyFont="1" applyBorder="1" applyAlignment="1">
      <alignment horizontal="justify" vertical="center" wrapText="1"/>
    </xf>
    <xf numFmtId="0" fontId="51" fillId="0" borderId="117" xfId="0" applyFont="1" applyBorder="1" applyAlignment="1">
      <alignment horizontal="center" vertical="center" wrapText="1"/>
    </xf>
    <xf numFmtId="0" fontId="51" fillId="0" borderId="118" xfId="0" applyFont="1" applyBorder="1" applyAlignment="1">
      <alignment horizontal="center" vertical="center" wrapText="1"/>
    </xf>
    <xf numFmtId="0" fontId="50" fillId="0" borderId="0" xfId="0" applyFont="1" applyAlignment="1">
      <alignment horizontal="center" vertical="center"/>
    </xf>
    <xf numFmtId="0" fontId="50" fillId="0" borderId="113" xfId="0" applyFont="1" applyBorder="1" applyAlignment="1">
      <alignment horizontal="center" vertical="center" wrapText="1"/>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7" fillId="0" borderId="106" xfId="0" applyFont="1" applyBorder="1" applyAlignment="1">
      <alignment horizontal="left" vertical="center"/>
    </xf>
    <xf numFmtId="0" fontId="56" fillId="0" borderId="108" xfId="0" applyFont="1" applyBorder="1" applyAlignment="1">
      <alignment horizontal="center" vertical="center"/>
    </xf>
    <xf numFmtId="15" fontId="59" fillId="0" borderId="109" xfId="0" applyNumberFormat="1" applyFont="1" applyBorder="1" applyAlignment="1">
      <alignment horizontal="center" vertical="center"/>
    </xf>
    <xf numFmtId="15" fontId="59" fillId="0" borderId="110" xfId="0" applyNumberFormat="1" applyFont="1" applyBorder="1" applyAlignment="1">
      <alignment horizontal="center" vertical="center"/>
    </xf>
    <xf numFmtId="0" fontId="64" fillId="0" borderId="0" xfId="0" applyFont="1"/>
    <xf numFmtId="0" fontId="51" fillId="0" borderId="103" xfId="0" applyFont="1" applyBorder="1" applyAlignment="1" applyProtection="1">
      <alignment horizontal="center" vertical="center" wrapText="1"/>
    </xf>
    <xf numFmtId="0" fontId="52" fillId="0" borderId="103" xfId="0" applyFont="1" applyBorder="1" applyAlignment="1" applyProtection="1">
      <alignment horizontal="center" vertical="center"/>
    </xf>
    <xf numFmtId="0" fontId="63" fillId="0" borderId="103" xfId="0" applyFont="1" applyBorder="1" applyAlignment="1" applyProtection="1">
      <alignment horizontal="left" vertical="center" wrapText="1"/>
      <protection locked="0"/>
    </xf>
    <xf numFmtId="0" fontId="8" fillId="0" borderId="119" xfId="0" applyFont="1" applyBorder="1" applyAlignment="1">
      <alignment horizontal="center" vertical="center" textRotation="90"/>
    </xf>
    <xf numFmtId="0" fontId="8" fillId="0" borderId="120" xfId="0" applyFont="1" applyBorder="1" applyAlignment="1">
      <alignment horizontal="center" vertical="center" textRotation="90"/>
    </xf>
    <xf numFmtId="0" fontId="8" fillId="0" borderId="121" xfId="0" applyFont="1" applyBorder="1" applyAlignment="1">
      <alignment horizontal="center" vertical="center" textRotation="90"/>
    </xf>
    <xf numFmtId="0" fontId="50" fillId="0" borderId="122" xfId="0" applyFont="1" applyBorder="1" applyAlignment="1">
      <alignment horizontal="center" vertical="center"/>
    </xf>
    <xf numFmtId="0" fontId="50" fillId="0" borderId="124" xfId="0" applyFont="1" applyBorder="1" applyAlignment="1">
      <alignment horizontal="center" vertical="center"/>
    </xf>
    <xf numFmtId="0" fontId="50" fillId="0" borderId="123" xfId="0" applyFont="1" applyBorder="1" applyAlignment="1">
      <alignment horizontal="center" vertical="center"/>
    </xf>
    <xf numFmtId="9" fontId="51" fillId="0" borderId="122" xfId="0" applyNumberFormat="1" applyFont="1" applyBorder="1" applyAlignment="1">
      <alignment horizontal="center" vertical="center" wrapText="1"/>
    </xf>
    <xf numFmtId="9" fontId="51" fillId="0" borderId="124" xfId="0" applyNumberFormat="1" applyFont="1" applyBorder="1" applyAlignment="1">
      <alignment horizontal="center" vertical="center" wrapText="1"/>
    </xf>
    <xf numFmtId="9" fontId="51" fillId="0" borderId="123" xfId="0" applyNumberFormat="1" applyFont="1" applyBorder="1" applyAlignment="1">
      <alignment horizontal="center" vertical="center" wrapText="1"/>
    </xf>
    <xf numFmtId="0" fontId="50" fillId="0" borderId="122" xfId="0" applyFont="1" applyBorder="1" applyAlignment="1">
      <alignment horizontal="center" vertical="center" wrapText="1"/>
    </xf>
    <xf numFmtId="0" fontId="50" fillId="0" borderId="124" xfId="0" applyFont="1" applyBorder="1" applyAlignment="1">
      <alignment horizontal="center" vertical="center" wrapText="1"/>
    </xf>
    <xf numFmtId="0" fontId="50" fillId="0" borderId="123" xfId="0" applyFont="1" applyBorder="1" applyAlignment="1">
      <alignment horizontal="center" vertical="center" wrapText="1"/>
    </xf>
    <xf numFmtId="9" fontId="51" fillId="0" borderId="122" xfId="0" applyNumberFormat="1" applyFont="1" applyBorder="1" applyAlignment="1" applyProtection="1">
      <alignment horizontal="center" vertical="center" wrapText="1"/>
      <protection locked="0"/>
    </xf>
    <xf numFmtId="9" fontId="51" fillId="0" borderId="124" xfId="0" applyNumberFormat="1" applyFont="1" applyBorder="1" applyAlignment="1" applyProtection="1">
      <alignment horizontal="center" vertical="center" wrapText="1"/>
      <protection locked="0"/>
    </xf>
    <xf numFmtId="9" fontId="51" fillId="0" borderId="123" xfId="0" applyNumberFormat="1" applyFont="1" applyBorder="1" applyAlignment="1" applyProtection="1">
      <alignment horizontal="center" vertical="center" wrapText="1"/>
      <protection locked="0"/>
    </xf>
    <xf numFmtId="0" fontId="51" fillId="0" borderId="122" xfId="0" applyFont="1" applyBorder="1" applyAlignment="1" applyProtection="1">
      <alignment horizontal="center" vertical="center" wrapText="1"/>
    </xf>
    <xf numFmtId="0" fontId="51" fillId="0" borderId="124" xfId="0" applyFont="1" applyBorder="1" applyAlignment="1" applyProtection="1">
      <alignment horizontal="center" vertical="center" wrapText="1"/>
    </xf>
    <xf numFmtId="0" fontId="51" fillId="0" borderId="123" xfId="0" applyFont="1" applyBorder="1" applyAlignment="1" applyProtection="1">
      <alignment horizontal="center" vertical="center" wrapText="1"/>
    </xf>
    <xf numFmtId="0" fontId="8" fillId="0" borderId="128" xfId="0" applyFont="1" applyBorder="1" applyAlignment="1">
      <alignment horizontal="center" vertical="center" textRotation="90"/>
    </xf>
    <xf numFmtId="0" fontId="8" fillId="0" borderId="124" xfId="0" applyFont="1" applyBorder="1" applyAlignment="1">
      <alignment horizontal="center" vertical="center" textRotation="90"/>
    </xf>
    <xf numFmtId="0" fontId="8" fillId="0" borderId="129" xfId="0" applyFont="1" applyBorder="1" applyAlignment="1">
      <alignment horizontal="center" vertical="center" textRotation="90"/>
    </xf>
    <xf numFmtId="0" fontId="52" fillId="0" borderId="125" xfId="0" applyFont="1" applyBorder="1" applyAlignment="1" applyProtection="1">
      <alignment horizontal="center" vertical="center"/>
      <protection locked="0"/>
    </xf>
    <xf numFmtId="0" fontId="52" fillId="0" borderId="126" xfId="0" applyFont="1" applyBorder="1" applyAlignment="1" applyProtection="1">
      <alignment horizontal="center" vertical="center"/>
      <protection locked="0"/>
    </xf>
    <xf numFmtId="0" fontId="52" fillId="0" borderId="127" xfId="0" applyFont="1" applyBorder="1" applyAlignment="1" applyProtection="1">
      <alignment horizontal="center" vertical="center"/>
      <protection locked="0"/>
    </xf>
  </cellXfs>
  <cellStyles count="1">
    <cellStyle name="Normal" xfId="0" builtinId="0"/>
  </cellStyles>
  <dxfs count="41">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tableStyleElement type="headerRow" dxfId="40"/>
      <tableStyleElement type="firstRowStripe" dxfId="39"/>
      <tableStyleElement type="secondRowStripe" dxfId="3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3</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1089" y="0"/>
          <a:ext cx="3360965" cy="1292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E35"/>
  <sheetViews>
    <sheetView showGridLines="0" tabSelected="1" zoomScale="60" zoomScaleNormal="60" workbookViewId="0">
      <selection activeCell="C10" sqref="C10:N10"/>
    </sheetView>
  </sheetViews>
  <sheetFormatPr baseColWidth="10" defaultColWidth="12.625" defaultRowHeight="16.5" x14ac:dyDescent="0.2"/>
  <cols>
    <col min="1" max="1" width="3.5" style="103" customWidth="1"/>
    <col min="2" max="3" width="20.625" style="103" customWidth="1"/>
    <col min="4" max="6" width="26.37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5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13.375" style="103" customWidth="1"/>
    <col min="32" max="50" width="10" style="103" customWidth="1"/>
    <col min="51" max="16384" width="12.625" style="103"/>
  </cols>
  <sheetData>
    <row r="1" spans="1:31" ht="23.25" thickBot="1" x14ac:dyDescent="0.25">
      <c r="A1" s="121"/>
      <c r="B1" s="122"/>
      <c r="C1" s="122"/>
      <c r="D1" s="122"/>
      <c r="E1" s="123"/>
      <c r="F1" s="130" t="s">
        <v>225</v>
      </c>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row>
    <row r="2" spans="1:31" ht="24" x14ac:dyDescent="0.2">
      <c r="A2" s="124"/>
      <c r="B2" s="125"/>
      <c r="C2" s="125"/>
      <c r="D2" s="125"/>
      <c r="E2" s="126"/>
      <c r="F2" s="309" t="s">
        <v>206</v>
      </c>
      <c r="G2" s="131"/>
      <c r="H2" s="131"/>
      <c r="I2" s="131"/>
      <c r="J2" s="131"/>
      <c r="K2" s="131"/>
      <c r="L2" s="131"/>
      <c r="M2" s="131"/>
      <c r="N2" s="131"/>
      <c r="O2" s="131"/>
      <c r="P2" s="131"/>
      <c r="Q2" s="131"/>
      <c r="R2" s="131"/>
      <c r="S2" s="131"/>
      <c r="T2" s="131"/>
      <c r="U2" s="131"/>
      <c r="V2" s="131"/>
      <c r="W2" s="131"/>
      <c r="X2" s="131"/>
      <c r="Y2" s="131"/>
      <c r="Z2" s="131"/>
      <c r="AA2" s="131"/>
      <c r="AB2" s="131"/>
      <c r="AC2" s="131"/>
      <c r="AD2" s="131"/>
      <c r="AE2" s="132"/>
    </row>
    <row r="3" spans="1:31" ht="23.25" thickBot="1" x14ac:dyDescent="0.25">
      <c r="A3" s="124"/>
      <c r="B3" s="125"/>
      <c r="C3" s="125"/>
      <c r="D3" s="125"/>
      <c r="E3" s="126"/>
      <c r="F3" s="310" t="s">
        <v>222</v>
      </c>
      <c r="G3" s="133"/>
      <c r="H3" s="133"/>
      <c r="I3" s="133"/>
      <c r="J3" s="133"/>
      <c r="K3" s="134"/>
      <c r="L3" s="134"/>
      <c r="M3" s="134"/>
      <c r="N3" s="134"/>
      <c r="O3" s="134"/>
      <c r="P3" s="134"/>
      <c r="Q3" s="134"/>
      <c r="R3" s="134"/>
      <c r="S3" s="134"/>
      <c r="T3" s="134"/>
      <c r="U3" s="134"/>
      <c r="V3" s="134"/>
      <c r="W3" s="134"/>
      <c r="X3" s="134"/>
      <c r="Y3" s="133"/>
      <c r="Z3" s="133"/>
      <c r="AA3" s="133"/>
      <c r="AB3" s="133"/>
      <c r="AC3" s="133"/>
      <c r="AD3" s="133"/>
      <c r="AE3" s="135"/>
    </row>
    <row r="4" spans="1:31" x14ac:dyDescent="0.2">
      <c r="A4" s="124"/>
      <c r="B4" s="125"/>
      <c r="C4" s="125"/>
      <c r="D4" s="125"/>
      <c r="E4" s="126"/>
      <c r="F4" s="136" t="s">
        <v>202</v>
      </c>
      <c r="G4" s="137"/>
      <c r="H4" s="137"/>
      <c r="I4" s="137"/>
      <c r="J4" s="140"/>
      <c r="K4" s="136" t="s">
        <v>203</v>
      </c>
      <c r="L4" s="137"/>
      <c r="M4" s="137"/>
      <c r="N4" s="137"/>
      <c r="O4" s="140"/>
      <c r="P4" s="136" t="s">
        <v>204</v>
      </c>
      <c r="Q4" s="137"/>
      <c r="R4" s="137"/>
      <c r="S4" s="137"/>
      <c r="T4" s="137"/>
      <c r="U4" s="137"/>
      <c r="V4" s="137"/>
      <c r="W4" s="137"/>
      <c r="X4" s="140"/>
      <c r="Y4" s="136" t="s">
        <v>205</v>
      </c>
      <c r="Z4" s="137"/>
      <c r="AA4" s="137"/>
      <c r="AB4" s="137"/>
      <c r="AC4" s="137"/>
      <c r="AD4" s="137"/>
      <c r="AE4" s="140"/>
    </row>
    <row r="5" spans="1:31" ht="18" thickBot="1" x14ac:dyDescent="0.25">
      <c r="A5" s="127"/>
      <c r="B5" s="128"/>
      <c r="C5" s="128"/>
      <c r="D5" s="128"/>
      <c r="E5" s="129"/>
      <c r="F5" s="138">
        <v>45782</v>
      </c>
      <c r="G5" s="311"/>
      <c r="H5" s="311"/>
      <c r="I5" s="311"/>
      <c r="J5" s="312"/>
      <c r="K5" s="141" t="s">
        <v>224</v>
      </c>
      <c r="L5" s="142"/>
      <c r="M5" s="142"/>
      <c r="N5" s="142"/>
      <c r="O5" s="143"/>
      <c r="P5" s="145" t="s">
        <v>223</v>
      </c>
      <c r="Q5" s="139"/>
      <c r="R5" s="139"/>
      <c r="S5" s="139"/>
      <c r="T5" s="139"/>
      <c r="U5" s="139"/>
      <c r="V5" s="139"/>
      <c r="W5" s="139"/>
      <c r="X5" s="144"/>
      <c r="Y5" s="145" t="s">
        <v>226</v>
      </c>
      <c r="Z5" s="139"/>
      <c r="AA5" s="139"/>
      <c r="AB5" s="139"/>
      <c r="AC5" s="139"/>
      <c r="AD5" s="139"/>
      <c r="AE5" s="144"/>
    </row>
    <row r="6" spans="1:31" x14ac:dyDescent="0.3">
      <c r="AD6" s="113"/>
    </row>
    <row r="7" spans="1:31" x14ac:dyDescent="0.2">
      <c r="A7" s="157" t="s">
        <v>54</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row>
    <row r="8" spans="1:31" x14ac:dyDescent="0.2">
      <c r="A8" s="157"/>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row>
    <row r="9" spans="1:31" x14ac:dyDescent="0.2">
      <c r="A9" s="104"/>
      <c r="B9" s="104"/>
      <c r="C9" s="105"/>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row>
    <row r="10" spans="1:31" ht="18" customHeight="1" x14ac:dyDescent="0.2">
      <c r="A10" s="158" t="s">
        <v>199</v>
      </c>
      <c r="B10" s="159"/>
      <c r="C10" s="338"/>
      <c r="D10" s="339"/>
      <c r="E10" s="339"/>
      <c r="F10" s="339"/>
      <c r="G10" s="339"/>
      <c r="H10" s="339"/>
      <c r="I10" s="339"/>
      <c r="J10" s="339"/>
      <c r="K10" s="339"/>
      <c r="L10" s="339"/>
      <c r="M10" s="339"/>
      <c r="N10" s="340"/>
      <c r="O10" s="160"/>
      <c r="P10" s="161"/>
      <c r="Q10" s="162"/>
      <c r="R10" s="104"/>
      <c r="S10" s="104"/>
      <c r="T10" s="104"/>
      <c r="U10" s="104"/>
      <c r="V10" s="104"/>
      <c r="W10" s="104"/>
      <c r="X10" s="104"/>
      <c r="Y10" s="104"/>
      <c r="Z10" s="104"/>
      <c r="AA10" s="104"/>
      <c r="AB10" s="104"/>
      <c r="AC10" s="104"/>
      <c r="AD10" s="169"/>
      <c r="AE10" s="104"/>
    </row>
    <row r="11" spans="1:31" ht="18" customHeight="1" x14ac:dyDescent="0.2">
      <c r="A11" s="158" t="s">
        <v>55</v>
      </c>
      <c r="B11" s="159"/>
      <c r="C11" s="338"/>
      <c r="D11" s="339"/>
      <c r="E11" s="339"/>
      <c r="F11" s="339"/>
      <c r="G11" s="339"/>
      <c r="H11" s="339"/>
      <c r="I11" s="339"/>
      <c r="J11" s="339"/>
      <c r="K11" s="339"/>
      <c r="L11" s="339"/>
      <c r="M11" s="339"/>
      <c r="N11" s="340"/>
      <c r="O11" s="104"/>
      <c r="P11" s="104"/>
      <c r="Q11" s="104"/>
      <c r="R11" s="104"/>
      <c r="S11" s="104"/>
      <c r="T11" s="104"/>
      <c r="U11" s="104"/>
      <c r="V11" s="104"/>
      <c r="W11" s="104"/>
      <c r="X11" s="104"/>
      <c r="Y11" s="104"/>
      <c r="Z11" s="104"/>
      <c r="AA11" s="104"/>
      <c r="AB11" s="104"/>
      <c r="AC11" s="104"/>
      <c r="AD11" s="169"/>
      <c r="AE11" s="104"/>
    </row>
    <row r="12" spans="1:31" s="114" customFormat="1" x14ac:dyDescent="0.2">
      <c r="A12" s="157" t="s">
        <v>56</v>
      </c>
      <c r="B12" s="149"/>
      <c r="C12" s="149"/>
      <c r="D12" s="149"/>
      <c r="E12" s="149"/>
      <c r="F12" s="149"/>
      <c r="G12" s="149"/>
      <c r="H12" s="157" t="s">
        <v>57</v>
      </c>
      <c r="I12" s="149"/>
      <c r="J12" s="149"/>
      <c r="K12" s="149"/>
      <c r="L12" s="149"/>
      <c r="M12" s="149"/>
      <c r="N12" s="149"/>
      <c r="O12" s="157" t="s">
        <v>58</v>
      </c>
      <c r="P12" s="149"/>
      <c r="Q12" s="149"/>
      <c r="R12" s="149"/>
      <c r="S12" s="149"/>
      <c r="T12" s="149"/>
      <c r="U12" s="149"/>
      <c r="V12" s="149"/>
      <c r="W12" s="149"/>
      <c r="X12" s="157" t="s">
        <v>59</v>
      </c>
      <c r="Y12" s="149"/>
      <c r="Z12" s="149"/>
      <c r="AA12" s="149"/>
      <c r="AB12" s="149"/>
      <c r="AC12" s="149"/>
      <c r="AD12" s="149"/>
      <c r="AE12" s="149"/>
    </row>
    <row r="13" spans="1:31" s="114" customFormat="1" ht="16.5" customHeight="1" x14ac:dyDescent="0.2">
      <c r="A13" s="164" t="s">
        <v>60</v>
      </c>
      <c r="B13" s="157" t="s">
        <v>14</v>
      </c>
      <c r="C13" s="157" t="s">
        <v>227</v>
      </c>
      <c r="D13" s="163" t="s">
        <v>16</v>
      </c>
      <c r="E13" s="163" t="s">
        <v>18</v>
      </c>
      <c r="F13" s="157" t="s">
        <v>20</v>
      </c>
      <c r="G13" s="163" t="s">
        <v>61</v>
      </c>
      <c r="H13" s="163" t="s">
        <v>62</v>
      </c>
      <c r="I13" s="157" t="s">
        <v>63</v>
      </c>
      <c r="J13" s="163" t="s">
        <v>64</v>
      </c>
      <c r="K13" s="163" t="s">
        <v>65</v>
      </c>
      <c r="L13" s="163" t="s">
        <v>66</v>
      </c>
      <c r="M13" s="157" t="s">
        <v>63</v>
      </c>
      <c r="N13" s="163" t="s">
        <v>26</v>
      </c>
      <c r="O13" s="165" t="s">
        <v>67</v>
      </c>
      <c r="P13" s="163" t="s">
        <v>28</v>
      </c>
      <c r="Q13" s="163" t="s">
        <v>30</v>
      </c>
      <c r="R13" s="163" t="s">
        <v>68</v>
      </c>
      <c r="S13" s="149"/>
      <c r="T13" s="149"/>
      <c r="U13" s="149"/>
      <c r="V13" s="149"/>
      <c r="W13" s="149"/>
      <c r="X13" s="165" t="s">
        <v>69</v>
      </c>
      <c r="Y13" s="165" t="s">
        <v>70</v>
      </c>
      <c r="Z13" s="165" t="s">
        <v>63</v>
      </c>
      <c r="AA13" s="165" t="s">
        <v>71</v>
      </c>
      <c r="AB13" s="165" t="s">
        <v>63</v>
      </c>
      <c r="AC13" s="165" t="s">
        <v>221</v>
      </c>
      <c r="AD13" s="170" t="s">
        <v>72</v>
      </c>
      <c r="AE13" s="165" t="s">
        <v>47</v>
      </c>
    </row>
    <row r="14" spans="1:31" s="114" customFormat="1" ht="96.75" customHeight="1" x14ac:dyDescent="0.2">
      <c r="A14" s="149"/>
      <c r="B14" s="149"/>
      <c r="C14" s="149"/>
      <c r="D14" s="149"/>
      <c r="E14" s="149"/>
      <c r="F14" s="149"/>
      <c r="G14" s="149"/>
      <c r="H14" s="149"/>
      <c r="I14" s="149"/>
      <c r="J14" s="149"/>
      <c r="K14" s="149"/>
      <c r="L14" s="149"/>
      <c r="M14" s="149"/>
      <c r="N14" s="149"/>
      <c r="O14" s="149"/>
      <c r="P14" s="149"/>
      <c r="Q14" s="149"/>
      <c r="R14" s="115" t="s">
        <v>73</v>
      </c>
      <c r="S14" s="115" t="s">
        <v>74</v>
      </c>
      <c r="T14" s="115" t="s">
        <v>75</v>
      </c>
      <c r="U14" s="115" t="s">
        <v>76</v>
      </c>
      <c r="V14" s="115" t="s">
        <v>77</v>
      </c>
      <c r="W14" s="115" t="s">
        <v>78</v>
      </c>
      <c r="X14" s="149"/>
      <c r="Y14" s="149"/>
      <c r="Z14" s="149"/>
      <c r="AA14" s="149"/>
      <c r="AB14" s="149"/>
      <c r="AC14" s="149"/>
      <c r="AD14" s="171"/>
      <c r="AE14" s="149"/>
    </row>
    <row r="15" spans="1:31" x14ac:dyDescent="0.2">
      <c r="A15" s="166">
        <v>1</v>
      </c>
      <c r="B15" s="314" t="s">
        <v>228</v>
      </c>
      <c r="C15" s="156"/>
      <c r="D15" s="156"/>
      <c r="E15" s="156"/>
      <c r="F15" s="156"/>
      <c r="G15" s="152"/>
      <c r="H15" s="150" t="str">
        <f>IF(G15&lt;=0,"",IF(G15&lt;=2,"Muy Baja",IF(G15&lt;=24,"Baja",IF(G15&lt;=500,"Media",IF(G15&lt;=5000,"Alta","Muy Alta")))))</f>
        <v/>
      </c>
      <c r="I15" s="148" t="str">
        <f>IF(H15="","",IF(H15="Muy Baja",0.2,IF(H15="Baja",0.4,IF(H15="Media",0.6,IF(H15="Alta",0.8,IF(H15="Muy Alta",1,))))))</f>
        <v/>
      </c>
      <c r="J15" s="146"/>
      <c r="K15" s="148">
        <f>IF(NOT(ISERROR(MATCH(J15,'[1]Tabla Impacto'!$B$221:$B$223,0))),'[1]Tabla Impacto'!$F$223&amp;"Por favor no seleccionar los criterios de impacto(Afectación Económica o presupuestal y Pérdida Reputacional)",J15)</f>
        <v>0</v>
      </c>
      <c r="L15" s="150" t="str">
        <f>IF(OR(K15='[1]Tabla Impacto'!$C$11,K15='[1]Tabla Impacto'!$D$11),"Leve",IF(OR(K15='[1]Tabla Impacto'!$C$12,K15='[1]Tabla Impacto'!$D$12),"Menor",IF(OR(K15='[1]Tabla Impacto'!$C$13,K15='[1]Tabla Impacto'!$D$13),"Moderado",IF(OR(K15='[1]Tabla Impacto'!$C$14,K15='[1]Tabla Impacto'!$D$14),"Mayor",IF(OR(K15='[1]Tabla Impacto'!$C$15,K15='[1]Tabla Impacto'!$D$15),"Catastrófico","")))))</f>
        <v/>
      </c>
      <c r="M15" s="148" t="str">
        <f>IF(L15="","",IF(L15="Leve",0.2,IF(L15="Menor",0.4,IF(L15="Moderado",0.6,IF(L15="Mayor",0.8,IF(L15="Catastrófico",1,))))))</f>
        <v/>
      </c>
      <c r="N15" s="151"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106">
        <v>1</v>
      </c>
      <c r="P15" s="316"/>
      <c r="Q15" s="108" t="str">
        <f>IF(OR(R15="Preventivo",R15="Detectivo"),"Probabilidad",IF(R15="Correctivo","Impacto",""))</f>
        <v/>
      </c>
      <c r="R15" s="107"/>
      <c r="S15" s="107"/>
      <c r="T15" s="109" t="str">
        <f t="shared" ref="T15" si="0">IF(AND(R15="Preventivo",S15="Automático"),"50%",IF(AND(R15="Preventivo",S15="Manual"),"40%",IF(AND(R15="Detectivo",S15="Automático"),"40%",IF(AND(R15="Detectivo",S15="Manual"),"30%",IF(AND(R15="Correctivo",S15="Automático"),"35%",IF(AND(R15="Correctivo",S15="Manual"),"25%",""))))))</f>
        <v/>
      </c>
      <c r="U15" s="107"/>
      <c r="V15" s="107"/>
      <c r="W15" s="107"/>
      <c r="X15" s="110" t="str">
        <f>IFERROR(IF(Q15="Probabilidad",(I15-(+I15*T15)),IF(Q15="Impacto",I15,"")),"")</f>
        <v/>
      </c>
      <c r="Y15" s="111" t="str">
        <f t="shared" ref="Y15:Y32" si="1">IFERROR(IF(X15="","",IF(X15&lt;=0.2,"Muy Baja",IF(X15&lt;=0.4,"Baja",IF(X15&lt;=0.6,"Media",IF(X15&lt;=0.8,"Alta","Muy Alta"))))),"")</f>
        <v/>
      </c>
      <c r="Z15" s="109" t="str">
        <f t="shared" ref="Z15:Z32" si="2">+X15</f>
        <v/>
      </c>
      <c r="AA15" s="111" t="str">
        <f t="shared" ref="AA15:AA32" si="3">IFERROR(IF(AB15="","",IF(AB15&lt;=0.2,"Leve",IF(AB15&lt;=0.4,"Menor",IF(AB15&lt;=0.6,"Moderado",IF(AB15&lt;=0.8,"Mayor","Catastrófico"))))),"")</f>
        <v/>
      </c>
      <c r="AB15" s="109" t="str">
        <f>IFERROR(IF(Q15="Impacto",(M15-(+M15*T15)),IF(Q15="Probabilidad",M15,"")),"")</f>
        <v/>
      </c>
      <c r="AC15" s="112" t="str">
        <f t="shared" ref="AC15:AC32" si="4">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
      </c>
      <c r="AD15" s="317" t="b">
        <f>IFERROR(IF(OR(AND(AC15="Bajo",AC16="Bajo",AC17="Bajo"),AND(AC15="Bajo",AC16="Bajo",AC17=""),AND(AC15="Bajo",AC16="",AC17="")),"Bajo",IF(OR(AND(AC15="Bajo",AC16="Bajo",AC17="Moderado"),AND(AC15="Bajo",AC16="Moderado",AC17="Moderado"),AND(AC15="Moderado",AC16="Moderado",AC17="Moderado"),,AND(AC15="Moderado",AC16="Bajo",AC17="Bajo"),AND(AC15="Bajo",AC16="Moderado",AC17=""),AND(AC15="Moderado",AC16="Bajo",AC17=""),AND(AC15="Moderado",AC16="Moderado",AC17=""),AND(AC15="Moderado",AC16="",AC17="")),"Moderado",IF(OR(AND(AC15="Bajo",AC16="Bajo",AC17="Alto"),AND(AC15="Bajo",AC16="Moderado",AC17="Alto"),AND(AC15="Moderado",AC16="Bajo",AC17="Alto"),AND(AC15="Moderado",AC16="Alto",AC17="Bajo"),AND(AC15="Moderado",AC16="Moderado",AC17="Alto"),AND(AC15="Alto",AC16="Bajo",AC17="Bajo"),AND(AC15="Alto",AC16="Moderado",AC17="Bajo"),AND(AC15="Alto",AC16="Moderado",AC17="Moderado"),AND(AC15="Alto",AC16="Alto",AC17="Bajo"),AND(AC15="Alto",AC16="Alto",AC17="Moderado"),AND(AC15="Alto",AC16="Alto",AC17="Alto"),AND(AC15="Alto",AC16="Bajo",AC17=""),AND(AC15="Alto",AC16="Moderado",AC17=""),AND(AC15="Alto",AC16="Alto",AC17=""),AND(AC15="Bajo",AC16="Alto",AC17=""),AND(AC15="Moderado",AC16="Alto",AC17=""),AND(AC15="Alto",AC16="",AC17="")),"Alto",IF(OR(AND(AC15="Bajo",AC16="Bajo",AC17="Extremo"),AND(AC15="Bajo",AC16="Moderado",AC17="Extremo"),AND(AC15="Bajo",AC16="Alto",AC17="Extremo"),AND(AC15="Moderado",AC16="Bajo",AC17="Extremo"),AND(AC15="Moderado",AC16="Alto",AC17="Extremo"),AND(AC15="Moderado",AC16="Moderado",AC17="Extremo"),AND(AC15="Alto",AC16="Bajo",AC17="Extremo"),AND(AC15="Alto",AC16="Moderado",AC17="Extremo"),AND(AC15="Alto",AC16="Alto",AC17="Extremo"),AND(AC15="Extremo",AC16="Bajo",AC17="Bajo"),AND(AC15="Extremo",AC16="Bajo",AC17="Moderado"),AND(AC15="Extremo",AC16="Bajo",AC17="Alto"),AND(AC15="Extremo",AC16="Moderado",AC17="Bajo"),AND(AC15="Extremo",AC16="Moderado",AC17="Moderado"),AND(AC15="Extremo",AC16="Moderado",AC17="Alto"),AND(AC15="Extremo",AC16="Alto",AC17="Bajo"),AND(AC15="Extremo",AC16="Alto",AC17="Moderado"),AND(AC15="Extremo",AC16="Alto",AC17="Alto"),AND(AC15="Extremo",AC16="Extremo",AC17="Bajo"),AND(AC15="Extremo",AC16="Extremo",AC17="Moderado"),AND(AC15="Extremo",AC16="Extremo",AC17="Alto"),AND(AC15="Extremo",AC16="Extremo",AC17="Extremo"),AND(AC15="Extremo",AC16="Bajo",AC17=""),AND(AC15="Extremo",AC16="Moderado",AC17=""),AND(AC15="Extremo",AC16="Alto",AC17=""),AND(AC15="Extremo",AC16="",AC17="")),"Extremo")))),"")</f>
        <v>0</v>
      </c>
      <c r="AE15" s="118"/>
    </row>
    <row r="16" spans="1:31" x14ac:dyDescent="0.2">
      <c r="A16" s="167"/>
      <c r="B16" s="315"/>
      <c r="C16" s="147"/>
      <c r="D16" s="156"/>
      <c r="E16" s="156"/>
      <c r="F16" s="156"/>
      <c r="G16" s="147"/>
      <c r="H16" s="149"/>
      <c r="I16" s="149"/>
      <c r="J16" s="147"/>
      <c r="K16" s="149"/>
      <c r="L16" s="149"/>
      <c r="M16" s="149"/>
      <c r="N16" s="149"/>
      <c r="O16" s="106">
        <v>2</v>
      </c>
      <c r="P16" s="316"/>
      <c r="Q16" s="108" t="str">
        <f t="shared" ref="Q16:Q32" si="5">IF(OR(R16="Preventivo",R16="Detectivo"),"Probabilidad",IF(R16="Correctivo","Impacto",""))</f>
        <v/>
      </c>
      <c r="R16" s="107"/>
      <c r="S16" s="107"/>
      <c r="T16" s="109" t="str">
        <f t="shared" ref="T16:T17" si="6">IF(AND(R16="Preventivo",S16="Automático"),"50%",IF(AND(R16="Preventivo",S16="Manual"),"40%",IF(AND(R16="Detectivo",S16="Automático"),"40%",IF(AND(R16="Detectivo",S16="Manual"),"30%",IF(AND(R16="Correctivo",S16="Automático"),"35%",IF(AND(R16="Correctivo",S16="Manual"),"25%",""))))))</f>
        <v/>
      </c>
      <c r="U16" s="107"/>
      <c r="V16" s="107"/>
      <c r="W16" s="107"/>
      <c r="X16" s="110" t="str">
        <f>IFERROR(IF(AND(Q15="Probabilidad",Q16="Probabilidad"),(Z15-(+Z15*T16)),IF(Q16="Probabilidad",(I15-(+I15*T16)),IF(Q16="Impacto",Z15,""))),"")</f>
        <v/>
      </c>
      <c r="Y16" s="111" t="str">
        <f t="shared" si="1"/>
        <v/>
      </c>
      <c r="Z16" s="109" t="str">
        <f t="shared" si="2"/>
        <v/>
      </c>
      <c r="AA16" s="111" t="str">
        <f t="shared" si="3"/>
        <v/>
      </c>
      <c r="AB16" s="109" t="str">
        <f>IFERROR(IF(AND(Q15="Impacto",Q16="Impacto"),(AB15-(+AB15*T16)),IF(Q16="Impacto",($M$15-(+$M$15*T16)),IF(Q16="Probabilidad",AB15,""))),"")</f>
        <v/>
      </c>
      <c r="AC16" s="112" t="str">
        <f t="shared" si="4"/>
        <v/>
      </c>
      <c r="AD16" s="318"/>
      <c r="AE16" s="119"/>
    </row>
    <row r="17" spans="1:31" x14ac:dyDescent="0.2">
      <c r="A17" s="168"/>
      <c r="B17" s="315"/>
      <c r="C17" s="147"/>
      <c r="D17" s="156"/>
      <c r="E17" s="156"/>
      <c r="F17" s="156"/>
      <c r="G17" s="147"/>
      <c r="H17" s="149"/>
      <c r="I17" s="149"/>
      <c r="J17" s="147"/>
      <c r="K17" s="149"/>
      <c r="L17" s="149"/>
      <c r="M17" s="149"/>
      <c r="N17" s="149"/>
      <c r="O17" s="106">
        <v>3</v>
      </c>
      <c r="P17" s="316"/>
      <c r="Q17" s="108" t="str">
        <f t="shared" si="5"/>
        <v/>
      </c>
      <c r="R17" s="107"/>
      <c r="S17" s="107"/>
      <c r="T17" s="109" t="str">
        <f t="shared" si="6"/>
        <v/>
      </c>
      <c r="U17" s="107"/>
      <c r="V17" s="107"/>
      <c r="W17" s="107"/>
      <c r="X17" s="110" t="str">
        <f>IFERROR(IF(AND(Q16="Probabilidad",Q17="Probabilidad"),(Z16-(+Z16*T17)),IF(AND(Q16="Impacto",Q17="Probabilidad"),(Z15-(+Z15*T17)),IF(Q17="Impacto",Z16,""))),"")</f>
        <v/>
      </c>
      <c r="Y17" s="111" t="str">
        <f t="shared" si="1"/>
        <v/>
      </c>
      <c r="Z17" s="109" t="str">
        <f t="shared" si="2"/>
        <v/>
      </c>
      <c r="AA17" s="111" t="str">
        <f t="shared" si="3"/>
        <v/>
      </c>
      <c r="AB17" s="109" t="str">
        <f>IFERROR(IF(AND(Q16="Impacto",Q17="Impacto"),(AB16-(+AB16*T17)),IF(AND(Q16="Probabilidad",Q17="Impacto"),(AB15-(+AB15*T17)),IF(Q17="Probabilidad",AB16,""))),"")</f>
        <v/>
      </c>
      <c r="AC17" s="112" t="str">
        <f t="shared" si="4"/>
        <v/>
      </c>
      <c r="AD17" s="319"/>
      <c r="AE17" s="120"/>
    </row>
    <row r="18" spans="1:31" ht="16.5" customHeight="1" x14ac:dyDescent="0.2">
      <c r="A18" s="166">
        <v>2</v>
      </c>
      <c r="B18" s="332" t="s">
        <v>228</v>
      </c>
      <c r="C18" s="153"/>
      <c r="D18" s="153"/>
      <c r="E18" s="153"/>
      <c r="F18" s="153"/>
      <c r="G18" s="166"/>
      <c r="H18" s="326" t="str">
        <f>IF(G18&lt;=0,"",IF(G18&lt;=2,"Muy Baja",IF(G18&lt;=24,"Baja",IF(G18&lt;=500,"Media",IF(G18&lt;=5000,"Alta","Muy Alta")))))</f>
        <v/>
      </c>
      <c r="I18" s="323" t="str">
        <f>IF(H18="","",IF(H18="Muy Baja",0.2,IF(H18="Baja",0.4,IF(H18="Media",0.6,IF(H18="Alta",0.8,IF(H18="Muy Alta",1,))))))</f>
        <v/>
      </c>
      <c r="J18" s="329"/>
      <c r="K18" s="323">
        <f>IF(NOT(ISERROR(MATCH(J18,'[1]Tabla Impacto'!$B$221:$B$223,0))),'[1]Tabla Impacto'!$F$223&amp;"Por favor no seleccionar los criterios de impacto(Afectación Económica o presupuestal y Pérdida Reputacional)",J18)</f>
        <v>0</v>
      </c>
      <c r="L18" s="326" t="str">
        <f>IF(OR(K18='[1]Tabla Impacto'!$C$11,K18='[1]Tabla Impacto'!$D$11),"Leve",IF(OR(K18='[1]Tabla Impacto'!$C$12,K18='[1]Tabla Impacto'!$D$12),"Menor",IF(OR(K18='[1]Tabla Impacto'!$C$13,K18='[1]Tabla Impacto'!$D$13),"Moderado",IF(OR(K18='[1]Tabla Impacto'!$C$14,K18='[1]Tabla Impacto'!$D$14),"Mayor",IF(OR(K18='[1]Tabla Impacto'!$C$15,K18='[1]Tabla Impacto'!$D$15),"Catastrófico","")))))</f>
        <v/>
      </c>
      <c r="M18" s="323" t="str">
        <f>IF(L18="","",IF(L18="Leve",0.2,IF(L18="Menor",0.4,IF(L18="Moderado",0.6,IF(L18="Mayor",0.8,IF(L18="Catastrófico",1,))))))</f>
        <v/>
      </c>
      <c r="N18" s="320"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116">
        <v>1</v>
      </c>
      <c r="P18" s="116"/>
      <c r="Q18" s="108" t="str">
        <f t="shared" si="5"/>
        <v/>
      </c>
      <c r="R18" s="107"/>
      <c r="S18" s="107"/>
      <c r="T18" s="109" t="str">
        <f t="shared" ref="T18:T20" si="7">IF(AND(R18="Preventivo",S18="Automático"),"50%",IF(AND(R18="Preventivo",S18="Manual"),"40%",IF(AND(R18="Detectivo",S18="Automático"),"40%",IF(AND(R18="Detectivo",S18="Manual"),"30%",IF(AND(R18="Correctivo",S18="Automático"),"35%",IF(AND(R18="Correctivo",S18="Manual"),"25%",""))))))</f>
        <v/>
      </c>
      <c r="U18" s="107"/>
      <c r="V18" s="107"/>
      <c r="W18" s="107"/>
      <c r="X18" s="110" t="str">
        <f>IFERROR(IF(Q18="Probabilidad",(I18-(+I18*T18)),IF(Q18="Impacto",I18,"")),"")</f>
        <v/>
      </c>
      <c r="Y18" s="111" t="str">
        <f t="shared" si="1"/>
        <v/>
      </c>
      <c r="Z18" s="109" t="str">
        <f t="shared" si="2"/>
        <v/>
      </c>
      <c r="AA18" s="111" t="str">
        <f t="shared" si="3"/>
        <v/>
      </c>
      <c r="AB18" s="109" t="str">
        <f>IFERROR(IF(Q18="Impacto",(M18-(+M18*T18)),IF(Q18="Probabilidad",M18,"")),"")</f>
        <v/>
      </c>
      <c r="AC18" s="112" t="str">
        <f t="shared" si="4"/>
        <v/>
      </c>
      <c r="AD18" s="335" t="b">
        <f t="shared" ref="AD18" si="8">IFERROR(IF(OR(AND(AC18="Bajo",AC19="Bajo",AC20="Bajo"),AND(AC18="Bajo",AC19="Bajo",AC20=""),AND(AC18="Bajo",AC19="",AC20="")),"Bajo",IF(OR(AND(AC18="Bajo",AC19="Bajo",AC20="Moderado"),AND(AC18="Bajo",AC19="Moderado",AC20="Moderado"),AND(AC18="Moderado",AC19="Moderado",AC20="Moderado"),,AND(AC18="Moderado",AC19="Bajo",AC20="Bajo"),AND(AC18="Bajo",AC19="Moderado",AC20=""),AND(AC18="Moderado",AC19="Bajo",AC20=""),AND(AC18="Moderado",AC19="Moderado",AC20=""),AND(AC18="Moderado",AC19="",AC20="")),"Moderado",IF(OR(AND(AC18="Bajo",AC19="Bajo",AC20="Alto"),AND(AC18="Bajo",AC19="Moderado",AC20="Alto"),AND(AC18="Moderado",AC19="Bajo",AC20="Alto"),AND(AC18="Moderado",AC19="Alto",AC20="Bajo"),AND(AC18="Moderado",AC19="Moderado",AC20="Alto"),AND(AC18="Alto",AC19="Bajo",AC20="Bajo"),AND(AC18="Alto",AC19="Moderado",AC20="Bajo"),AND(AC18="Alto",AC19="Moderado",AC20="Moderado"),AND(AC18="Alto",AC19="Alto",AC20="Bajo"),AND(AC18="Alto",AC19="Alto",AC20="Moderado"),AND(AC18="Alto",AC19="Alto",AC20="Alto"),AND(AC18="Alto",AC19="Bajo",AC20=""),AND(AC18="Alto",AC19="Moderado",AC20=""),AND(AC18="Alto",AC19="Alto",AC20=""),AND(AC18="Bajo",AC19="Alto",AC20=""),AND(AC18="Moderado",AC19="Alto",AC20=""),AND(AC18="Alto",AC19="",AC20="")),"Alto",IF(OR(AND(AC18="Bajo",AC19="Bajo",AC20="Extremo"),AND(AC18="Bajo",AC19="Moderado",AC20="Extremo"),AND(AC18="Bajo",AC19="Alto",AC20="Extremo"),AND(AC18="Moderado",AC19="Bajo",AC20="Extremo"),AND(AC18="Moderado",AC19="Alto",AC20="Extremo"),AND(AC18="Moderado",AC19="Moderado",AC20="Extremo"),AND(AC18="Alto",AC19="Bajo",AC20="Extremo"),AND(AC18="Alto",AC19="Moderado",AC20="Extremo"),AND(AC18="Alto",AC19="Alto",AC20="Extremo"),AND(AC18="Extremo",AC19="Bajo",AC20="Bajo"),AND(AC18="Extremo",AC19="Bajo",AC20="Moderado"),AND(AC18="Extremo",AC19="Bajo",AC20="Alto"),AND(AC18="Extremo",AC19="Moderado",AC20="Bajo"),AND(AC18="Extremo",AC19="Moderado",AC20="Moderado"),AND(AC18="Extremo",AC19="Moderado",AC20="Alto"),AND(AC18="Extremo",AC19="Alto",AC20="Bajo"),AND(AC18="Extremo",AC19="Alto",AC20="Moderado"),AND(AC18="Extremo",AC19="Alto",AC20="Alto"),AND(AC18="Extremo",AC19="Extremo",AC20="Bajo"),AND(AC18="Extremo",AC19="Extremo",AC20="Moderado"),AND(AC18="Extremo",AC19="Extremo",AC20="Alto"),AND(AC18="Extremo",AC19="Extremo",AC20="Extremo"),AND(AC18="Extremo",AC19="Bajo",AC20=""),AND(AC18="Extremo",AC19="Moderado",AC20=""),AND(AC18="Extremo",AC19="Alto",AC20=""),AND(AC18="Extremo",AC19="",AC20="")),"Extremo")))),"")</f>
        <v>0</v>
      </c>
      <c r="AE18" s="118"/>
    </row>
    <row r="19" spans="1:31" x14ac:dyDescent="0.2">
      <c r="A19" s="167"/>
      <c r="B19" s="333"/>
      <c r="C19" s="154"/>
      <c r="D19" s="154"/>
      <c r="E19" s="154"/>
      <c r="F19" s="154"/>
      <c r="G19" s="167"/>
      <c r="H19" s="327"/>
      <c r="I19" s="324"/>
      <c r="J19" s="330"/>
      <c r="K19" s="324"/>
      <c r="L19" s="327"/>
      <c r="M19" s="324"/>
      <c r="N19" s="321"/>
      <c r="O19" s="116">
        <v>2</v>
      </c>
      <c r="P19" s="316"/>
      <c r="Q19" s="108" t="str">
        <f t="shared" si="5"/>
        <v/>
      </c>
      <c r="R19" s="107"/>
      <c r="S19" s="107"/>
      <c r="T19" s="109" t="str">
        <f t="shared" si="7"/>
        <v/>
      </c>
      <c r="U19" s="107"/>
      <c r="V19" s="107"/>
      <c r="W19" s="107"/>
      <c r="X19" s="110" t="str">
        <f>IFERROR(IF(AND(Q18="Probabilidad",Q19="Probabilidad"),(Z18-(+Z18*T19)),IF(Q19="Probabilidad",(I18-(+I18*T19)),IF(Q19="Impacto",Z18,""))),"")</f>
        <v/>
      </c>
      <c r="Y19" s="111" t="str">
        <f t="shared" si="1"/>
        <v/>
      </c>
      <c r="Z19" s="109" t="str">
        <f t="shared" si="2"/>
        <v/>
      </c>
      <c r="AA19" s="111" t="str">
        <f t="shared" si="3"/>
        <v/>
      </c>
      <c r="AB19" s="109" t="str">
        <f>IFERROR(IF(AND(Q18="Impacto",Q19="Impacto"),(AB18-(+AB18*T19)),IF(Q19="Impacto",($M$15-(+$M$15*T19)),IF(Q19="Probabilidad",AB18,""))),"")</f>
        <v/>
      </c>
      <c r="AC19" s="112" t="str">
        <f t="shared" si="4"/>
        <v/>
      </c>
      <c r="AD19" s="336"/>
      <c r="AE19" s="119"/>
    </row>
    <row r="20" spans="1:31" x14ac:dyDescent="0.2">
      <c r="A20" s="168"/>
      <c r="B20" s="334"/>
      <c r="C20" s="155"/>
      <c r="D20" s="155"/>
      <c r="E20" s="155"/>
      <c r="F20" s="155"/>
      <c r="G20" s="168"/>
      <c r="H20" s="328"/>
      <c r="I20" s="325"/>
      <c r="J20" s="331"/>
      <c r="K20" s="325"/>
      <c r="L20" s="328"/>
      <c r="M20" s="325"/>
      <c r="N20" s="322"/>
      <c r="O20" s="116">
        <v>3</v>
      </c>
      <c r="P20" s="316"/>
      <c r="Q20" s="108" t="str">
        <f t="shared" si="5"/>
        <v/>
      </c>
      <c r="R20" s="107"/>
      <c r="S20" s="107"/>
      <c r="T20" s="109" t="str">
        <f t="shared" si="7"/>
        <v/>
      </c>
      <c r="U20" s="107"/>
      <c r="V20" s="107"/>
      <c r="W20" s="107"/>
      <c r="X20" s="110" t="str">
        <f>IFERROR(IF(AND(Q19="Probabilidad",Q20="Probabilidad"),(Z19-(+Z19*T20)),IF(AND(Q19="Impacto",Q20="Probabilidad"),(Z18-(+Z18*T20)),IF(Q20="Impacto",Z19,""))),"")</f>
        <v/>
      </c>
      <c r="Y20" s="111" t="str">
        <f t="shared" si="1"/>
        <v/>
      </c>
      <c r="Z20" s="109" t="str">
        <f t="shared" si="2"/>
        <v/>
      </c>
      <c r="AA20" s="111" t="str">
        <f t="shared" si="3"/>
        <v/>
      </c>
      <c r="AB20" s="109" t="str">
        <f>IFERROR(IF(AND(Q19="Impacto",Q20="Impacto"),(AB19-(+AB19*T20)),IF(AND(Q19="Probabilidad",Q20="Impacto"),(AB18-(+AB18*T20)),IF(Q20="Probabilidad",AB19,""))),"")</f>
        <v/>
      </c>
      <c r="AC20" s="112" t="str">
        <f t="shared" si="4"/>
        <v/>
      </c>
      <c r="AD20" s="337"/>
      <c r="AE20" s="120"/>
    </row>
    <row r="21" spans="1:31" ht="18" customHeight="1" x14ac:dyDescent="0.2">
      <c r="A21" s="166">
        <v>3</v>
      </c>
      <c r="B21" s="332" t="s">
        <v>228</v>
      </c>
      <c r="C21" s="153"/>
      <c r="D21" s="153"/>
      <c r="E21" s="153"/>
      <c r="F21" s="153"/>
      <c r="G21" s="166"/>
      <c r="H21" s="326" t="str">
        <f>IF(G21&lt;=0,"",IF(G21&lt;=2,"Muy Baja",IF(G21&lt;=24,"Baja",IF(G21&lt;=500,"Media",IF(G21&lt;=5000,"Alta","Muy Alta")))))</f>
        <v/>
      </c>
      <c r="I21" s="323" t="str">
        <f>IF(H21="","",IF(H21="Muy Baja",0.2,IF(H21="Baja",0.4,IF(H21="Media",0.6,IF(H21="Alta",0.8,IF(H21="Muy Alta",1,))))))</f>
        <v/>
      </c>
      <c r="J21" s="329"/>
      <c r="K21" s="323">
        <f>IF(NOT(ISERROR(MATCH(J21,'[1]Tabla Impacto'!$B$221:$B$223,0))),'[1]Tabla Impacto'!$F$223&amp;"Por favor no seleccionar los criterios de impacto(Afectación Económica o presupuestal y Pérdida Reputacional)",J21)</f>
        <v>0</v>
      </c>
      <c r="L21" s="326" t="str">
        <f>IF(OR(K21='[1]Tabla Impacto'!$C$11,K21='[1]Tabla Impacto'!$D$11),"Leve",IF(OR(K21='[1]Tabla Impacto'!$C$12,K21='[1]Tabla Impacto'!$D$12),"Menor",IF(OR(K21='[1]Tabla Impacto'!$C$13,K21='[1]Tabla Impacto'!$D$13),"Moderado",IF(OR(K21='[1]Tabla Impacto'!$C$14,K21='[1]Tabla Impacto'!$D$14),"Mayor",IF(OR(K21='[1]Tabla Impacto'!$C$15,K21='[1]Tabla Impacto'!$D$15),"Catastrófico","")))))</f>
        <v/>
      </c>
      <c r="M21" s="323" t="str">
        <f>IF(L21="","",IF(L21="Leve",0.2,IF(L21="Menor",0.4,IF(L21="Moderado",0.6,IF(L21="Mayor",0.8,IF(L21="Catastrófico",1,))))))</f>
        <v/>
      </c>
      <c r="N21" s="320"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16">
        <v>1</v>
      </c>
      <c r="P21" s="316"/>
      <c r="Q21" s="108" t="str">
        <f t="shared" si="5"/>
        <v/>
      </c>
      <c r="R21" s="107"/>
      <c r="S21" s="107"/>
      <c r="T21" s="109" t="str">
        <f t="shared" ref="T21:T23" si="9">IF(AND(R21="Preventivo",S21="Automático"),"50%",IF(AND(R21="Preventivo",S21="Manual"),"40%",IF(AND(R21="Detectivo",S21="Automático"),"40%",IF(AND(R21="Detectivo",S21="Manual"),"30%",IF(AND(R21="Correctivo",S21="Automático"),"35%",IF(AND(R21="Correctivo",S21="Manual"),"25%",""))))))</f>
        <v/>
      </c>
      <c r="U21" s="107"/>
      <c r="V21" s="107"/>
      <c r="W21" s="107"/>
      <c r="X21" s="110" t="str">
        <f>IFERROR(IF(Q21="Probabilidad",(I21-(+I21*T21)),IF(Q21="Impacto",I21,"")),"")</f>
        <v/>
      </c>
      <c r="Y21" s="111" t="str">
        <f t="shared" si="1"/>
        <v/>
      </c>
      <c r="Z21" s="109" t="str">
        <f t="shared" si="2"/>
        <v/>
      </c>
      <c r="AA21" s="111" t="str">
        <f t="shared" si="3"/>
        <v/>
      </c>
      <c r="AB21" s="109" t="str">
        <f>IFERROR(IF(Q21="Impacto",(M21-(+M21*T21)),IF(Q21="Probabilidad",M21,"")),"")</f>
        <v/>
      </c>
      <c r="AC21" s="112" t="str">
        <f t="shared" si="4"/>
        <v/>
      </c>
      <c r="AD21" s="335" t="b">
        <f t="shared" ref="AD21" si="10">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0</v>
      </c>
      <c r="AE21" s="118"/>
    </row>
    <row r="22" spans="1:31" x14ac:dyDescent="0.2">
      <c r="A22" s="167"/>
      <c r="B22" s="333"/>
      <c r="C22" s="154"/>
      <c r="D22" s="154"/>
      <c r="E22" s="154"/>
      <c r="F22" s="154"/>
      <c r="G22" s="167"/>
      <c r="H22" s="327"/>
      <c r="I22" s="324"/>
      <c r="J22" s="330"/>
      <c r="K22" s="324"/>
      <c r="L22" s="327"/>
      <c r="M22" s="324"/>
      <c r="N22" s="321"/>
      <c r="O22" s="116">
        <v>2</v>
      </c>
      <c r="P22" s="316"/>
      <c r="Q22" s="108" t="str">
        <f t="shared" si="5"/>
        <v/>
      </c>
      <c r="R22" s="107"/>
      <c r="S22" s="107"/>
      <c r="T22" s="109" t="str">
        <f t="shared" si="9"/>
        <v/>
      </c>
      <c r="U22" s="107"/>
      <c r="V22" s="107"/>
      <c r="W22" s="107"/>
      <c r="X22" s="110" t="str">
        <f>IFERROR(IF(AND(Q21="Probabilidad",Q22="Probabilidad"),(Z21-(+Z21*T22)),IF(Q22="Probabilidad",(I21-(+I21*T22)),IF(Q22="Impacto",Z21,""))),"")</f>
        <v/>
      </c>
      <c r="Y22" s="111" t="str">
        <f t="shared" si="1"/>
        <v/>
      </c>
      <c r="Z22" s="109" t="str">
        <f t="shared" si="2"/>
        <v/>
      </c>
      <c r="AA22" s="111" t="str">
        <f t="shared" si="3"/>
        <v/>
      </c>
      <c r="AB22" s="109" t="str">
        <f>IFERROR(IF(AND(Q21="Impacto",Q22="Impacto"),(AB21-(+AB21*T22)),IF(Q22="Impacto",($M$15-(+$M$15*T22)),IF(Q22="Probabilidad",AB21,""))),"")</f>
        <v/>
      </c>
      <c r="AC22" s="112" t="str">
        <f t="shared" si="4"/>
        <v/>
      </c>
      <c r="AD22" s="336"/>
      <c r="AE22" s="119"/>
    </row>
    <row r="23" spans="1:31" x14ac:dyDescent="0.2">
      <c r="A23" s="168"/>
      <c r="B23" s="334"/>
      <c r="C23" s="155"/>
      <c r="D23" s="155"/>
      <c r="E23" s="155"/>
      <c r="F23" s="155"/>
      <c r="G23" s="168"/>
      <c r="H23" s="328"/>
      <c r="I23" s="325"/>
      <c r="J23" s="331"/>
      <c r="K23" s="325"/>
      <c r="L23" s="328"/>
      <c r="M23" s="325"/>
      <c r="N23" s="322"/>
      <c r="O23" s="116">
        <v>3</v>
      </c>
      <c r="P23" s="316"/>
      <c r="Q23" s="108" t="str">
        <f t="shared" si="5"/>
        <v/>
      </c>
      <c r="R23" s="107"/>
      <c r="S23" s="107"/>
      <c r="T23" s="109" t="str">
        <f t="shared" si="9"/>
        <v/>
      </c>
      <c r="U23" s="107"/>
      <c r="V23" s="107"/>
      <c r="W23" s="107"/>
      <c r="X23" s="110" t="str">
        <f>IFERROR(IF(AND(Q22="Probabilidad",Q23="Probabilidad"),(Z22-(+Z22*T23)),IF(AND(Q22="Impacto",Q23="Probabilidad"),(Z21-(+Z21*T23)),IF(Q23="Impacto",Z22,""))),"")</f>
        <v/>
      </c>
      <c r="Y23" s="111" t="str">
        <f t="shared" si="1"/>
        <v/>
      </c>
      <c r="Z23" s="109" t="str">
        <f t="shared" si="2"/>
        <v/>
      </c>
      <c r="AA23" s="111" t="str">
        <f t="shared" si="3"/>
        <v/>
      </c>
      <c r="AB23" s="109" t="str">
        <f>IFERROR(IF(AND(Q22="Impacto",Q23="Impacto"),(AB22-(+AB22*T23)),IF(AND(Q22="Probabilidad",Q23="Impacto"),(AB21-(+AB21*T23)),IF(Q23="Probabilidad",AB22,""))),"")</f>
        <v/>
      </c>
      <c r="AC23" s="112" t="str">
        <f t="shared" si="4"/>
        <v/>
      </c>
      <c r="AD23" s="337"/>
      <c r="AE23" s="120"/>
    </row>
    <row r="24" spans="1:31" ht="16.5" customHeight="1" x14ac:dyDescent="0.2">
      <c r="A24" s="166">
        <v>4</v>
      </c>
      <c r="B24" s="332" t="s">
        <v>228</v>
      </c>
      <c r="C24" s="153"/>
      <c r="D24" s="153"/>
      <c r="E24" s="153"/>
      <c r="F24" s="153"/>
      <c r="G24" s="166"/>
      <c r="H24" s="326" t="str">
        <f>IF(G24&lt;=0,"",IF(G24&lt;=2,"Muy Baja",IF(G24&lt;=24,"Baja",IF(G24&lt;=500,"Media",IF(G24&lt;=5000,"Alta","Muy Alta")))))</f>
        <v/>
      </c>
      <c r="I24" s="323" t="str">
        <f>IF(H24="","",IF(H24="Muy Baja",0.2,IF(H24="Baja",0.4,IF(H24="Media",0.6,IF(H24="Alta",0.8,IF(H24="Muy Alta",1,))))))</f>
        <v/>
      </c>
      <c r="J24" s="329"/>
      <c r="K24" s="323">
        <f>IF(NOT(ISERROR(MATCH(J24,'[1]Tabla Impacto'!$B$221:$B$223,0))),'[1]Tabla Impacto'!$F$223&amp;"Por favor no seleccionar los criterios de impacto(Afectación Económica o presupuestal y Pérdida Reputacional)",J24)</f>
        <v>0</v>
      </c>
      <c r="L24" s="326" t="str">
        <f>IF(OR(K24='[1]Tabla Impacto'!$C$11,K24='[1]Tabla Impacto'!$D$11),"Leve",IF(OR(K24='[1]Tabla Impacto'!$C$12,K24='[1]Tabla Impacto'!$D$12),"Menor",IF(OR(K24='[1]Tabla Impacto'!$C$13,K24='[1]Tabla Impacto'!$D$13),"Moderado",IF(OR(K24='[1]Tabla Impacto'!$C$14,K24='[1]Tabla Impacto'!$D$14),"Mayor",IF(OR(K24='[1]Tabla Impacto'!$C$15,K24='[1]Tabla Impacto'!$D$15),"Catastrófico","")))))</f>
        <v/>
      </c>
      <c r="M24" s="323" t="str">
        <f>IF(L24="","",IF(L24="Leve",0.2,IF(L24="Menor",0.4,IF(L24="Moderado",0.6,IF(L24="Mayor",0.8,IF(L24="Catastrófico",1,))))))</f>
        <v/>
      </c>
      <c r="N24" s="320"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16">
        <v>1</v>
      </c>
      <c r="P24" s="316"/>
      <c r="Q24" s="108" t="str">
        <f t="shared" si="5"/>
        <v/>
      </c>
      <c r="R24" s="107"/>
      <c r="S24" s="107"/>
      <c r="T24" s="109" t="str">
        <f t="shared" ref="T24:T26" si="11">IF(AND(R24="Preventivo",S24="Automático"),"50%",IF(AND(R24="Preventivo",S24="Manual"),"40%",IF(AND(R24="Detectivo",S24="Automático"),"40%",IF(AND(R24="Detectivo",S24="Manual"),"30%",IF(AND(R24="Correctivo",S24="Automático"),"35%",IF(AND(R24="Correctivo",S24="Manual"),"25%",""))))))</f>
        <v/>
      </c>
      <c r="U24" s="107"/>
      <c r="V24" s="107"/>
      <c r="W24" s="107"/>
      <c r="X24" s="110" t="str">
        <f>IFERROR(IF(Q24="Probabilidad",(I24-(+I24*T24)),IF(Q24="Impacto",I24,"")),"")</f>
        <v/>
      </c>
      <c r="Y24" s="111" t="str">
        <f t="shared" si="1"/>
        <v/>
      </c>
      <c r="Z24" s="109" t="str">
        <f t="shared" si="2"/>
        <v/>
      </c>
      <c r="AA24" s="111" t="str">
        <f t="shared" si="3"/>
        <v/>
      </c>
      <c r="AB24" s="109" t="str">
        <f>IFERROR(IF(Q24="Impacto",(M24-(+M24*T24)),IF(Q24="Probabilidad",M24,"")),"")</f>
        <v/>
      </c>
      <c r="AC24" s="112" t="str">
        <f t="shared" si="4"/>
        <v/>
      </c>
      <c r="AD24" s="335" t="b">
        <f t="shared" ref="AD24" si="12">IFERROR(IF(OR(AND(AC24="Bajo",AC25="Bajo",AC26="Bajo"),AND(AC24="Bajo",AC25="Bajo",AC26=""),AND(AC24="Bajo",AC25="",AC26="")),"Bajo",IF(OR(AND(AC24="Bajo",AC25="Bajo",AC26="Moderado"),AND(AC24="Bajo",AC25="Moderado",AC26="Moderado"),AND(AC24="Moderado",AC25="Moderado",AC26="Moderado"),,AND(AC24="Moderado",AC25="Bajo",AC26="Bajo"),AND(AC24="Bajo",AC25="Moderado",AC26=""),AND(AC24="Moderado",AC25="Bajo",AC26=""),AND(AC24="Moderado",AC25="Moderado",AC26=""),AND(AC24="Moderado",AC25="",AC26="")),"Moderado",IF(OR(AND(AC24="Bajo",AC25="Bajo",AC26="Alto"),AND(AC24="Bajo",AC25="Moderado",AC26="Alto"),AND(AC24="Moderado",AC25="Bajo",AC26="Alto"),AND(AC24="Moderado",AC25="Alto",AC26="Bajo"),AND(AC24="Moderado",AC25="Moderado",AC26="Alto"),AND(AC24="Alto",AC25="Bajo",AC26="Bajo"),AND(AC24="Alto",AC25="Moderado",AC26="Bajo"),AND(AC24="Alto",AC25="Moderado",AC26="Moderado"),AND(AC24="Alto",AC25="Alto",AC26="Bajo"),AND(AC24="Alto",AC25="Alto",AC26="Moderado"),AND(AC24="Alto",AC25="Alto",AC26="Alto"),AND(AC24="Alto",AC25="Bajo",AC26=""),AND(AC24="Alto",AC25="Moderado",AC26=""),AND(AC24="Alto",AC25="Alto",AC26=""),AND(AC24="Bajo",AC25="Alto",AC26=""),AND(AC24="Moderado",AC25="Alto",AC26=""),AND(AC24="Alto",AC25="",AC26="")),"Alto",IF(OR(AND(AC24="Bajo",AC25="Bajo",AC26="Extremo"),AND(AC24="Bajo",AC25="Moderado",AC26="Extremo"),AND(AC24="Bajo",AC25="Alto",AC26="Extremo"),AND(AC24="Moderado",AC25="Bajo",AC26="Extremo"),AND(AC24="Moderado",AC25="Alto",AC26="Extremo"),AND(AC24="Moderado",AC25="Moderado",AC26="Extremo"),AND(AC24="Alto",AC25="Bajo",AC26="Extremo"),AND(AC24="Alto",AC25="Moderado",AC26="Extremo"),AND(AC24="Alto",AC25="Alto",AC26="Extremo"),AND(AC24="Extremo",AC25="Bajo",AC26="Bajo"),AND(AC24="Extremo",AC25="Bajo",AC26="Moderado"),AND(AC24="Extremo",AC25="Bajo",AC26="Alto"),AND(AC24="Extremo",AC25="Moderado",AC26="Bajo"),AND(AC24="Extremo",AC25="Moderado",AC26="Moderado"),AND(AC24="Extremo",AC25="Moderado",AC26="Alto"),AND(AC24="Extremo",AC25="Alto",AC26="Bajo"),AND(AC24="Extremo",AC25="Alto",AC26="Moderado"),AND(AC24="Extremo",AC25="Alto",AC26="Alto"),AND(AC24="Extremo",AC25="Extremo",AC26="Bajo"),AND(AC24="Extremo",AC25="Extremo",AC26="Moderado"),AND(AC24="Extremo",AC25="Extremo",AC26="Alto"),AND(AC24="Extremo",AC25="Extremo",AC26="Extremo"),AND(AC24="Extremo",AC25="Bajo",AC26=""),AND(AC24="Extremo",AC25="Moderado",AC26=""),AND(AC24="Extremo",AC25="Alto",AC26=""),AND(AC24="Extremo",AC25="",AC26="")),"Extremo")))),"")</f>
        <v>0</v>
      </c>
      <c r="AE24" s="118"/>
    </row>
    <row r="25" spans="1:31" x14ac:dyDescent="0.2">
      <c r="A25" s="167"/>
      <c r="B25" s="333"/>
      <c r="C25" s="154"/>
      <c r="D25" s="154"/>
      <c r="E25" s="154"/>
      <c r="F25" s="154"/>
      <c r="G25" s="167"/>
      <c r="H25" s="327"/>
      <c r="I25" s="324"/>
      <c r="J25" s="330"/>
      <c r="K25" s="324"/>
      <c r="L25" s="327"/>
      <c r="M25" s="324"/>
      <c r="N25" s="321"/>
      <c r="O25" s="116">
        <v>2</v>
      </c>
      <c r="P25" s="316"/>
      <c r="Q25" s="108" t="str">
        <f t="shared" si="5"/>
        <v/>
      </c>
      <c r="R25" s="107"/>
      <c r="S25" s="107"/>
      <c r="T25" s="109" t="str">
        <f t="shared" si="11"/>
        <v/>
      </c>
      <c r="U25" s="107"/>
      <c r="V25" s="107"/>
      <c r="W25" s="107"/>
      <c r="X25" s="110" t="str">
        <f>IFERROR(IF(AND(Q24="Probabilidad",Q25="Probabilidad"),(Z24-(+Z24*T25)),IF(Q25="Probabilidad",(I24-(+I24*T25)),IF(Q25="Impacto",Z24,""))),"")</f>
        <v/>
      </c>
      <c r="Y25" s="111" t="str">
        <f t="shared" si="1"/>
        <v/>
      </c>
      <c r="Z25" s="109" t="str">
        <f t="shared" si="2"/>
        <v/>
      </c>
      <c r="AA25" s="111" t="str">
        <f t="shared" si="3"/>
        <v/>
      </c>
      <c r="AB25" s="109" t="str">
        <f>IFERROR(IF(AND(Q24="Impacto",Q25="Impacto"),(AB24-(+AB24*T25)),IF(Q25="Impacto",($M$15-(+$M$15*T25)),IF(Q25="Probabilidad",AB24,""))),"")</f>
        <v/>
      </c>
      <c r="AC25" s="112" t="str">
        <f t="shared" si="4"/>
        <v/>
      </c>
      <c r="AD25" s="336"/>
      <c r="AE25" s="119"/>
    </row>
    <row r="26" spans="1:31" ht="16.5" customHeight="1" x14ac:dyDescent="0.2">
      <c r="A26" s="168"/>
      <c r="B26" s="334"/>
      <c r="C26" s="155"/>
      <c r="D26" s="155"/>
      <c r="E26" s="155"/>
      <c r="F26" s="155"/>
      <c r="G26" s="168"/>
      <c r="H26" s="328"/>
      <c r="I26" s="325"/>
      <c r="J26" s="331"/>
      <c r="K26" s="325"/>
      <c r="L26" s="328"/>
      <c r="M26" s="325"/>
      <c r="N26" s="322"/>
      <c r="O26" s="116">
        <v>3</v>
      </c>
      <c r="P26" s="316"/>
      <c r="Q26" s="108" t="str">
        <f t="shared" si="5"/>
        <v/>
      </c>
      <c r="R26" s="107"/>
      <c r="S26" s="107"/>
      <c r="T26" s="109" t="str">
        <f t="shared" si="11"/>
        <v/>
      </c>
      <c r="U26" s="107"/>
      <c r="V26" s="107"/>
      <c r="W26" s="107"/>
      <c r="X26" s="110" t="str">
        <f>IFERROR(IF(AND(Q25="Probabilidad",Q26="Probabilidad"),(Z25-(+Z25*T26)),IF(AND(Q25="Impacto",Q26="Probabilidad"),(Z24-(+Z24*T26)),IF(Q26="Impacto",Z25,""))),"")</f>
        <v/>
      </c>
      <c r="Y26" s="111" t="str">
        <f t="shared" si="1"/>
        <v/>
      </c>
      <c r="Z26" s="109" t="str">
        <f t="shared" si="2"/>
        <v/>
      </c>
      <c r="AA26" s="111" t="str">
        <f t="shared" si="3"/>
        <v/>
      </c>
      <c r="AB26" s="109" t="str">
        <f>IFERROR(IF(AND(Q25="Impacto",Q26="Impacto"),(AB25-(+AB25*T26)),IF(AND(Q25="Probabilidad",Q26="Impacto"),(AB24-(+AB24*T26)),IF(Q26="Probabilidad",AB25,""))),"")</f>
        <v/>
      </c>
      <c r="AC26" s="112" t="str">
        <f t="shared" si="4"/>
        <v/>
      </c>
      <c r="AD26" s="337"/>
      <c r="AE26" s="120"/>
    </row>
    <row r="27" spans="1:31" ht="16.5" customHeight="1" x14ac:dyDescent="0.2">
      <c r="A27" s="166">
        <v>5</v>
      </c>
      <c r="B27" s="332" t="s">
        <v>228</v>
      </c>
      <c r="C27" s="153"/>
      <c r="D27" s="153"/>
      <c r="E27" s="153"/>
      <c r="F27" s="153"/>
      <c r="G27" s="166"/>
      <c r="H27" s="326" t="str">
        <f>IF(G27&lt;=0,"",IF(G27&lt;=2,"Muy Baja",IF(G27&lt;=24,"Baja",IF(G27&lt;=500,"Media",IF(G27&lt;=5000,"Alta","Muy Alta")))))</f>
        <v/>
      </c>
      <c r="I27" s="323" t="str">
        <f>IF(H27="","",IF(H27="Muy Baja",0.2,IF(H27="Baja",0.4,IF(H27="Media",0.6,IF(H27="Alta",0.8,IF(H27="Muy Alta",1,))))))</f>
        <v/>
      </c>
      <c r="J27" s="329"/>
      <c r="K27" s="323">
        <f>IF(NOT(ISERROR(MATCH(J27,'[1]Tabla Impacto'!$B$221:$B$223,0))),'[1]Tabla Impacto'!$F$223&amp;"Por favor no seleccionar los criterios de impacto(Afectación Económica o presupuestal y Pérdida Reputacional)",J27)</f>
        <v>0</v>
      </c>
      <c r="L27" s="326" t="str">
        <f>IF(OR(K27='[1]Tabla Impacto'!$C$11,K27='[1]Tabla Impacto'!$D$11),"Leve",IF(OR(K27='[1]Tabla Impacto'!$C$12,K27='[1]Tabla Impacto'!$D$12),"Menor",IF(OR(K27='[1]Tabla Impacto'!$C$13,K27='[1]Tabla Impacto'!$D$13),"Moderado",IF(OR(K27='[1]Tabla Impacto'!$C$14,K27='[1]Tabla Impacto'!$D$14),"Mayor",IF(OR(K27='[1]Tabla Impacto'!$C$15,K27='[1]Tabla Impacto'!$D$15),"Catastrófico","")))))</f>
        <v/>
      </c>
      <c r="M27" s="323" t="str">
        <f>IF(L27="","",IF(L27="Leve",0.2,IF(L27="Menor",0.4,IF(L27="Moderado",0.6,IF(L27="Mayor",0.8,IF(L27="Catastrófico",1,))))))</f>
        <v/>
      </c>
      <c r="N27" s="320"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16">
        <v>1</v>
      </c>
      <c r="P27" s="316"/>
      <c r="Q27" s="108" t="str">
        <f t="shared" si="5"/>
        <v/>
      </c>
      <c r="R27" s="107"/>
      <c r="S27" s="107"/>
      <c r="T27" s="109" t="str">
        <f t="shared" ref="T27:T29" si="13">IF(AND(R27="Preventivo",S27="Automático"),"50%",IF(AND(R27="Preventivo",S27="Manual"),"40%",IF(AND(R27="Detectivo",S27="Automático"),"40%",IF(AND(R27="Detectivo",S27="Manual"),"30%",IF(AND(R27="Correctivo",S27="Automático"),"35%",IF(AND(R27="Correctivo",S27="Manual"),"25%",""))))))</f>
        <v/>
      </c>
      <c r="U27" s="107"/>
      <c r="V27" s="107"/>
      <c r="W27" s="107"/>
      <c r="X27" s="110" t="str">
        <f>IFERROR(IF(Q27="Probabilidad",(I27-(+I27*T27)),IF(Q27="Impacto",I27,"")),"")</f>
        <v/>
      </c>
      <c r="Y27" s="111" t="str">
        <f t="shared" si="1"/>
        <v/>
      </c>
      <c r="Z27" s="109" t="str">
        <f t="shared" si="2"/>
        <v/>
      </c>
      <c r="AA27" s="111" t="str">
        <f t="shared" si="3"/>
        <v/>
      </c>
      <c r="AB27" s="109" t="str">
        <f>IFERROR(IF(Q27="Impacto",(M27-(+M27*T27)),IF(Q27="Probabilidad",M27,"")),"")</f>
        <v/>
      </c>
      <c r="AC27" s="112" t="str">
        <f t="shared" si="4"/>
        <v/>
      </c>
      <c r="AD27" s="335" t="b">
        <f t="shared" ref="AD27" si="14">IFERROR(IF(OR(AND(AC27="Bajo",AC28="Bajo",AC29="Bajo"),AND(AC27="Bajo",AC28="Bajo",AC29=""),AND(AC27="Bajo",AC28="",AC29="")),"Bajo",IF(OR(AND(AC27="Bajo",AC28="Bajo",AC29="Moderado"),AND(AC27="Bajo",AC28="Moderado",AC29="Moderado"),AND(AC27="Moderado",AC28="Moderado",AC29="Moderado"),,AND(AC27="Moderado",AC28="Bajo",AC29="Bajo"),AND(AC27="Bajo",AC28="Moderado",AC29=""),AND(AC27="Moderado",AC28="Bajo",AC29=""),AND(AC27="Moderado",AC28="Moderado",AC29=""),AND(AC27="Moderado",AC28="",AC29="")),"Moderado",IF(OR(AND(AC27="Bajo",AC28="Bajo",AC29="Alto"),AND(AC27="Bajo",AC28="Moderado",AC29="Alto"),AND(AC27="Moderado",AC28="Bajo",AC29="Alto"),AND(AC27="Moderado",AC28="Alto",AC29="Bajo"),AND(AC27="Moderado",AC28="Moderado",AC29="Alto"),AND(AC27="Alto",AC28="Bajo",AC29="Bajo"),AND(AC27="Alto",AC28="Moderado",AC29="Bajo"),AND(AC27="Alto",AC28="Moderado",AC29="Moderado"),AND(AC27="Alto",AC28="Alto",AC29="Bajo"),AND(AC27="Alto",AC28="Alto",AC29="Moderado"),AND(AC27="Alto",AC28="Alto",AC29="Alto"),AND(AC27="Alto",AC28="Bajo",AC29=""),AND(AC27="Alto",AC28="Moderado",AC29=""),AND(AC27="Alto",AC28="Alto",AC29=""),AND(AC27="Bajo",AC28="Alto",AC29=""),AND(AC27="Moderado",AC28="Alto",AC29=""),AND(AC27="Alto",AC28="",AC29="")),"Alto",IF(OR(AND(AC27="Bajo",AC28="Bajo",AC29="Extremo"),AND(AC27="Bajo",AC28="Moderado",AC29="Extremo"),AND(AC27="Bajo",AC28="Alto",AC29="Extremo"),AND(AC27="Moderado",AC28="Bajo",AC29="Extremo"),AND(AC27="Moderado",AC28="Alto",AC29="Extremo"),AND(AC27="Moderado",AC28="Moderado",AC29="Extremo"),AND(AC27="Alto",AC28="Bajo",AC29="Extremo"),AND(AC27="Alto",AC28="Moderado",AC29="Extremo"),AND(AC27="Alto",AC28="Alto",AC29="Extremo"),AND(AC27="Extremo",AC28="Bajo",AC29="Bajo"),AND(AC27="Extremo",AC28="Bajo",AC29="Moderado"),AND(AC27="Extremo",AC28="Bajo",AC29="Alto"),AND(AC27="Extremo",AC28="Moderado",AC29="Bajo"),AND(AC27="Extremo",AC28="Moderado",AC29="Moderado"),AND(AC27="Extremo",AC28="Moderado",AC29="Alto"),AND(AC27="Extremo",AC28="Alto",AC29="Bajo"),AND(AC27="Extremo",AC28="Alto",AC29="Moderado"),AND(AC27="Extremo",AC28="Alto",AC29="Alto"),AND(AC27="Extremo",AC28="Extremo",AC29="Bajo"),AND(AC27="Extremo",AC28="Extremo",AC29="Moderado"),AND(AC27="Extremo",AC28="Extremo",AC29="Alto"),AND(AC27="Extremo",AC28="Extremo",AC29="Extremo"),AND(AC27="Extremo",AC28="Bajo",AC29=""),AND(AC27="Extremo",AC28="Moderado",AC29=""),AND(AC27="Extremo",AC28="Alto",AC29=""),AND(AC27="Extremo",AC28="",AC29="")),"Extremo")))),"")</f>
        <v>0</v>
      </c>
      <c r="AE27" s="118"/>
    </row>
    <row r="28" spans="1:31" x14ac:dyDescent="0.2">
      <c r="A28" s="167"/>
      <c r="B28" s="333"/>
      <c r="C28" s="154"/>
      <c r="D28" s="154"/>
      <c r="E28" s="154"/>
      <c r="F28" s="154"/>
      <c r="G28" s="167"/>
      <c r="H28" s="327"/>
      <c r="I28" s="324"/>
      <c r="J28" s="330"/>
      <c r="K28" s="324"/>
      <c r="L28" s="327"/>
      <c r="M28" s="324"/>
      <c r="N28" s="321"/>
      <c r="O28" s="116">
        <v>2</v>
      </c>
      <c r="P28" s="316"/>
      <c r="Q28" s="108" t="str">
        <f t="shared" si="5"/>
        <v/>
      </c>
      <c r="R28" s="107"/>
      <c r="S28" s="107"/>
      <c r="T28" s="109" t="str">
        <f t="shared" si="13"/>
        <v/>
      </c>
      <c r="U28" s="107"/>
      <c r="V28" s="107"/>
      <c r="W28" s="107"/>
      <c r="X28" s="110" t="str">
        <f>IFERROR(IF(AND(Q27="Probabilidad",Q28="Probabilidad"),(Z27-(+Z27*T28)),IF(Q28="Probabilidad",(I27-(+I27*T28)),IF(Q28="Impacto",Z27,""))),"")</f>
        <v/>
      </c>
      <c r="Y28" s="111" t="str">
        <f t="shared" si="1"/>
        <v/>
      </c>
      <c r="Z28" s="109" t="str">
        <f t="shared" si="2"/>
        <v/>
      </c>
      <c r="AA28" s="111" t="str">
        <f t="shared" si="3"/>
        <v/>
      </c>
      <c r="AB28" s="109" t="str">
        <f>IFERROR(IF(AND(Q27="Impacto",Q28="Impacto"),(AB27-(+AB27*T28)),IF(Q28="Impacto",($M$15-(+$M$15*T28)),IF(Q28="Probabilidad",AB27,""))),"")</f>
        <v/>
      </c>
      <c r="AC28" s="112" t="str">
        <f t="shared" si="4"/>
        <v/>
      </c>
      <c r="AD28" s="336"/>
      <c r="AE28" s="119"/>
    </row>
    <row r="29" spans="1:31" x14ac:dyDescent="0.2">
      <c r="A29" s="168"/>
      <c r="B29" s="334"/>
      <c r="C29" s="155"/>
      <c r="D29" s="155"/>
      <c r="E29" s="155"/>
      <c r="F29" s="155"/>
      <c r="G29" s="168"/>
      <c r="H29" s="328"/>
      <c r="I29" s="325"/>
      <c r="J29" s="331"/>
      <c r="K29" s="325"/>
      <c r="L29" s="328"/>
      <c r="M29" s="325"/>
      <c r="N29" s="322"/>
      <c r="O29" s="116">
        <v>3</v>
      </c>
      <c r="P29" s="316"/>
      <c r="Q29" s="108" t="str">
        <f t="shared" si="5"/>
        <v/>
      </c>
      <c r="R29" s="107"/>
      <c r="S29" s="107"/>
      <c r="T29" s="109" t="str">
        <f t="shared" si="13"/>
        <v/>
      </c>
      <c r="U29" s="107"/>
      <c r="V29" s="107"/>
      <c r="W29" s="107"/>
      <c r="X29" s="110" t="str">
        <f>IFERROR(IF(AND(Q28="Probabilidad",Q29="Probabilidad"),(Z28-(+Z28*T29)),IF(AND(Q28="Impacto",Q29="Probabilidad"),(Z27-(+Z27*T29)),IF(Q29="Impacto",Z28,""))),"")</f>
        <v/>
      </c>
      <c r="Y29" s="111" t="str">
        <f t="shared" si="1"/>
        <v/>
      </c>
      <c r="Z29" s="109" t="str">
        <f t="shared" si="2"/>
        <v/>
      </c>
      <c r="AA29" s="111" t="str">
        <f t="shared" si="3"/>
        <v/>
      </c>
      <c r="AB29" s="109" t="str">
        <f>IFERROR(IF(AND(Q28="Impacto",Q29="Impacto"),(AB28-(+AB28*T29)),IF(AND(Q28="Probabilidad",Q29="Impacto"),(AB27-(+AB27*T29)),IF(Q29="Probabilidad",AB28,""))),"")</f>
        <v/>
      </c>
      <c r="AC29" s="112" t="str">
        <f t="shared" si="4"/>
        <v/>
      </c>
      <c r="AD29" s="337"/>
      <c r="AE29" s="120"/>
    </row>
    <row r="30" spans="1:31" ht="16.5" customHeight="1" x14ac:dyDescent="0.2">
      <c r="A30" s="166">
        <v>6</v>
      </c>
      <c r="B30" s="332" t="s">
        <v>228</v>
      </c>
      <c r="C30" s="153"/>
      <c r="D30" s="153"/>
      <c r="E30" s="153"/>
      <c r="F30" s="153"/>
      <c r="G30" s="166"/>
      <c r="H30" s="326" t="str">
        <f>IF(G30&lt;=0,"",IF(G30&lt;=2,"Muy Baja",IF(G30&lt;=24,"Baja",IF(G30&lt;=500,"Media",IF(G30&lt;=5000,"Alta","Muy Alta")))))</f>
        <v/>
      </c>
      <c r="I30" s="323" t="str">
        <f>IF(H30="","",IF(H30="Muy Baja",0.2,IF(H30="Baja",0.4,IF(H30="Media",0.6,IF(H30="Alta",0.8,IF(H30="Muy Alta",1,))))))</f>
        <v/>
      </c>
      <c r="J30" s="329"/>
      <c r="K30" s="323">
        <f>IF(NOT(ISERROR(MATCH(J30,'[1]Tabla Impacto'!$B$221:$B$223,0))),'[1]Tabla Impacto'!$F$223&amp;"Por favor no seleccionar los criterios de impacto(Afectación Económica o presupuestal y Pérdida Reputacional)",J30)</f>
        <v>0</v>
      </c>
      <c r="L30" s="326" t="str">
        <f>IF(OR(K30='[1]Tabla Impacto'!$C$11,K30='[1]Tabla Impacto'!$D$11),"Leve",IF(OR(K30='[1]Tabla Impacto'!$C$12,K30='[1]Tabla Impacto'!$D$12),"Menor",IF(OR(K30='[1]Tabla Impacto'!$C$13,K30='[1]Tabla Impacto'!$D$13),"Moderado",IF(OR(K30='[1]Tabla Impacto'!$C$14,K30='[1]Tabla Impacto'!$D$14),"Mayor",IF(OR(K30='[1]Tabla Impacto'!$C$15,K30='[1]Tabla Impacto'!$D$15),"Catastrófico","")))))</f>
        <v/>
      </c>
      <c r="M30" s="323" t="str">
        <f>IF(L30="","",IF(L30="Leve",0.2,IF(L30="Menor",0.4,IF(L30="Moderado",0.6,IF(L30="Mayor",0.8,IF(L30="Catastrófico",1,))))))</f>
        <v/>
      </c>
      <c r="N30" s="320"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16">
        <v>1</v>
      </c>
      <c r="P30" s="316"/>
      <c r="Q30" s="108" t="str">
        <f t="shared" si="5"/>
        <v/>
      </c>
      <c r="R30" s="107"/>
      <c r="S30" s="107"/>
      <c r="T30" s="109" t="str">
        <f t="shared" ref="T30:T32" si="15">IF(AND(R30="Preventivo",S30="Automático"),"50%",IF(AND(R30="Preventivo",S30="Manual"),"40%",IF(AND(R30="Detectivo",S30="Automático"),"40%",IF(AND(R30="Detectivo",S30="Manual"),"30%",IF(AND(R30="Correctivo",S30="Automático"),"35%",IF(AND(R30="Correctivo",S30="Manual"),"25%",""))))))</f>
        <v/>
      </c>
      <c r="U30" s="107"/>
      <c r="V30" s="107"/>
      <c r="W30" s="107"/>
      <c r="X30" s="110" t="str">
        <f>IFERROR(IF(Q30="Probabilidad",(I30-(+I30*T30)),IF(Q30="Impacto",I30,"")),"")</f>
        <v/>
      </c>
      <c r="Y30" s="111" t="str">
        <f t="shared" si="1"/>
        <v/>
      </c>
      <c r="Z30" s="109" t="str">
        <f t="shared" si="2"/>
        <v/>
      </c>
      <c r="AA30" s="111" t="str">
        <f t="shared" si="3"/>
        <v/>
      </c>
      <c r="AB30" s="109" t="str">
        <f>IFERROR(IF(Q30="Impacto",(M30-(+M30*T30)),IF(Q30="Probabilidad",M30,"")),"")</f>
        <v/>
      </c>
      <c r="AC30" s="112" t="str">
        <f t="shared" si="4"/>
        <v/>
      </c>
      <c r="AD30" s="335" t="b">
        <f t="shared" ref="AD30" si="16">IFERROR(IF(OR(AND(AC30="Bajo",AC31="Bajo",AC32="Bajo"),AND(AC30="Bajo",AC31="Bajo",AC32=""),AND(AC30="Bajo",AC31="",AC32="")),"Bajo",IF(OR(AND(AC30="Bajo",AC31="Bajo",AC32="Moderado"),AND(AC30="Bajo",AC31="Moderado",AC32="Moderado"),AND(AC30="Moderado",AC31="Moderado",AC32="Moderado"),,AND(AC30="Moderado",AC31="Bajo",AC32="Bajo"),AND(AC30="Bajo",AC31="Moderado",AC32=""),AND(AC30="Moderado",AC31="Bajo",AC32=""),AND(AC30="Moderado",AC31="Moderado",AC32=""),AND(AC30="Moderado",AC31="",AC32="")),"Moderado",IF(OR(AND(AC30="Bajo",AC31="Bajo",AC32="Alto"),AND(AC30="Bajo",AC31="Moderado",AC32="Alto"),AND(AC30="Moderado",AC31="Bajo",AC32="Alto"),AND(AC30="Moderado",AC31="Alto",AC32="Bajo"),AND(AC30="Moderado",AC31="Moderado",AC32="Alto"),AND(AC30="Alto",AC31="Bajo",AC32="Bajo"),AND(AC30="Alto",AC31="Moderado",AC32="Bajo"),AND(AC30="Alto",AC31="Moderado",AC32="Moderado"),AND(AC30="Alto",AC31="Alto",AC32="Bajo"),AND(AC30="Alto",AC31="Alto",AC32="Moderado"),AND(AC30="Alto",AC31="Alto",AC32="Alto"),AND(AC30="Alto",AC31="Bajo",AC32=""),AND(AC30="Alto",AC31="Moderado",AC32=""),AND(AC30="Alto",AC31="Alto",AC32=""),AND(AC30="Bajo",AC31="Alto",AC32=""),AND(AC30="Moderado",AC31="Alto",AC32=""),AND(AC30="Alto",AC31="",AC32="")),"Alto",IF(OR(AND(AC30="Bajo",AC31="Bajo",AC32="Extremo"),AND(AC30="Bajo",AC31="Moderado",AC32="Extremo"),AND(AC30="Bajo",AC31="Alto",AC32="Extremo"),AND(AC30="Moderado",AC31="Bajo",AC32="Extremo"),AND(AC30="Moderado",AC31="Alto",AC32="Extremo"),AND(AC30="Moderado",AC31="Moderado",AC32="Extremo"),AND(AC30="Alto",AC31="Bajo",AC32="Extremo"),AND(AC30="Alto",AC31="Moderado",AC32="Extremo"),AND(AC30="Alto",AC31="Alto",AC32="Extremo"),AND(AC30="Extremo",AC31="Bajo",AC32="Bajo"),AND(AC30="Extremo",AC31="Bajo",AC32="Moderado"),AND(AC30="Extremo",AC31="Bajo",AC32="Alto"),AND(AC30="Extremo",AC31="Moderado",AC32="Bajo"),AND(AC30="Extremo",AC31="Moderado",AC32="Moderado"),AND(AC30="Extremo",AC31="Moderado",AC32="Alto"),AND(AC30="Extremo",AC31="Alto",AC32="Bajo"),AND(AC30="Extremo",AC31="Alto",AC32="Moderado"),AND(AC30="Extremo",AC31="Alto",AC32="Alto"),AND(AC30="Extremo",AC31="Extremo",AC32="Bajo"),AND(AC30="Extremo",AC31="Extremo",AC32="Moderado"),AND(AC30="Extremo",AC31="Extremo",AC32="Alto"),AND(AC30="Extremo",AC31="Extremo",AC32="Extremo"),AND(AC30="Extremo",AC31="Bajo",AC32=""),AND(AC30="Extremo",AC31="Moderado",AC32=""),AND(AC30="Extremo",AC31="Alto",AC32=""),AND(AC30="Extremo",AC31="",AC32="")),"Extremo")))),"")</f>
        <v>0</v>
      </c>
      <c r="AE30" s="118"/>
    </row>
    <row r="31" spans="1:31" x14ac:dyDescent="0.2">
      <c r="A31" s="167"/>
      <c r="B31" s="333"/>
      <c r="C31" s="154"/>
      <c r="D31" s="154"/>
      <c r="E31" s="154"/>
      <c r="F31" s="154"/>
      <c r="G31" s="167"/>
      <c r="H31" s="327"/>
      <c r="I31" s="324"/>
      <c r="J31" s="330"/>
      <c r="K31" s="324"/>
      <c r="L31" s="327"/>
      <c r="M31" s="324"/>
      <c r="N31" s="321"/>
      <c r="O31" s="116">
        <v>2</v>
      </c>
      <c r="P31" s="316"/>
      <c r="Q31" s="108" t="str">
        <f t="shared" si="5"/>
        <v/>
      </c>
      <c r="R31" s="107"/>
      <c r="S31" s="107"/>
      <c r="T31" s="109" t="str">
        <f t="shared" si="15"/>
        <v/>
      </c>
      <c r="U31" s="107"/>
      <c r="V31" s="107"/>
      <c r="W31" s="107"/>
      <c r="X31" s="110" t="str">
        <f>IFERROR(IF(AND(Q30="Probabilidad",Q31="Probabilidad"),(Z30-(+Z30*T31)),IF(Q31="Probabilidad",(I30-(+I30*T31)),IF(Q31="Impacto",Z30,""))),"")</f>
        <v/>
      </c>
      <c r="Y31" s="111" t="str">
        <f t="shared" si="1"/>
        <v/>
      </c>
      <c r="Z31" s="109" t="str">
        <f t="shared" si="2"/>
        <v/>
      </c>
      <c r="AA31" s="111" t="str">
        <f t="shared" si="3"/>
        <v/>
      </c>
      <c r="AB31" s="109" t="str">
        <f>IFERROR(IF(AND(Q30="Impacto",Q31="Impacto"),(AB30-(+AB30*T31)),IF(Q31="Impacto",($M$15-(+$M$15*T31)),IF(Q31="Probabilidad",AB30,""))),"")</f>
        <v/>
      </c>
      <c r="AC31" s="112" t="str">
        <f t="shared" si="4"/>
        <v/>
      </c>
      <c r="AD31" s="336"/>
      <c r="AE31" s="119"/>
    </row>
    <row r="32" spans="1:31" x14ac:dyDescent="0.2">
      <c r="A32" s="168"/>
      <c r="B32" s="334"/>
      <c r="C32" s="155"/>
      <c r="D32" s="155"/>
      <c r="E32" s="155"/>
      <c r="F32" s="155"/>
      <c r="G32" s="168"/>
      <c r="H32" s="328"/>
      <c r="I32" s="325"/>
      <c r="J32" s="331"/>
      <c r="K32" s="325"/>
      <c r="L32" s="328"/>
      <c r="M32" s="325"/>
      <c r="N32" s="322"/>
      <c r="O32" s="116">
        <v>3</v>
      </c>
      <c r="P32" s="316"/>
      <c r="Q32" s="108" t="str">
        <f t="shared" si="5"/>
        <v/>
      </c>
      <c r="R32" s="107"/>
      <c r="S32" s="107"/>
      <c r="T32" s="109" t="str">
        <f t="shared" si="15"/>
        <v/>
      </c>
      <c r="U32" s="107"/>
      <c r="V32" s="107"/>
      <c r="W32" s="107"/>
      <c r="X32" s="110" t="str">
        <f>IFERROR(IF(AND(Q31="Probabilidad",Q32="Probabilidad"),(Z31-(+Z31*T32)),IF(AND(Q31="Impacto",Q32="Probabilidad"),(Z30-(+Z30*T32)),IF(Q32="Impacto",Z31,""))),"")</f>
        <v/>
      </c>
      <c r="Y32" s="111" t="str">
        <f t="shared" si="1"/>
        <v/>
      </c>
      <c r="Z32" s="109" t="str">
        <f t="shared" si="2"/>
        <v/>
      </c>
      <c r="AA32" s="111" t="str">
        <f t="shared" si="3"/>
        <v/>
      </c>
      <c r="AB32" s="109" t="str">
        <f>IFERROR(IF(AND(Q31="Impacto",Q32="Impacto"),(AB31-(+AB31*T32)),IF(AND(Q31="Probabilidad",Q32="Impacto"),(AB30-(+AB30*T32)),IF(Q32="Probabilidad",AB31,""))),"")</f>
        <v/>
      </c>
      <c r="AC32" s="112" t="str">
        <f t="shared" si="4"/>
        <v/>
      </c>
      <c r="AD32" s="337"/>
      <c r="AE32" s="120"/>
    </row>
    <row r="33" spans="1:31" ht="16.5" customHeight="1" x14ac:dyDescent="0.2">
      <c r="A33" s="166">
        <v>7</v>
      </c>
      <c r="B33" s="332" t="s">
        <v>228</v>
      </c>
      <c r="C33" s="153"/>
      <c r="D33" s="153"/>
      <c r="E33" s="153"/>
      <c r="F33" s="153"/>
      <c r="G33" s="166"/>
      <c r="H33" s="326" t="str">
        <f>IF(G33&lt;=0,"",IF(G33&lt;=2,"Muy Baja",IF(G33&lt;=24,"Baja",IF(G33&lt;=500,"Media",IF(G33&lt;=5000,"Alta","Muy Alta")))))</f>
        <v/>
      </c>
      <c r="I33" s="323" t="str">
        <f>IF(H33="","",IF(H33="Muy Baja",0.2,IF(H33="Baja",0.4,IF(H33="Media",0.6,IF(H33="Alta",0.8,IF(H33="Muy Alta",1,))))))</f>
        <v/>
      </c>
      <c r="J33" s="329"/>
      <c r="K33" s="323">
        <f>IF(NOT(ISERROR(MATCH(J33,'[1]Tabla Impacto'!$B$221:$B$223,0))),'[1]Tabla Impacto'!$F$223&amp;"Por favor no seleccionar los criterios de impacto(Afectación Económica o presupuestal y Pérdida Reputacional)",J33)</f>
        <v>0</v>
      </c>
      <c r="L33" s="326" t="str">
        <f>IF(OR(K33='[1]Tabla Impacto'!$C$11,K33='[1]Tabla Impacto'!$D$11),"Leve",IF(OR(K33='[1]Tabla Impacto'!$C$12,K33='[1]Tabla Impacto'!$D$12),"Menor",IF(OR(K33='[1]Tabla Impacto'!$C$13,K33='[1]Tabla Impacto'!$D$13),"Moderado",IF(OR(K33='[1]Tabla Impacto'!$C$14,K33='[1]Tabla Impacto'!$D$14),"Mayor",IF(OR(K33='[1]Tabla Impacto'!$C$15,K33='[1]Tabla Impacto'!$D$15),"Catastrófico","")))))</f>
        <v/>
      </c>
      <c r="M33" s="323" t="str">
        <f>IF(L33="","",IF(L33="Leve",0.2,IF(L33="Menor",0.4,IF(L33="Moderado",0.6,IF(L33="Mayor",0.8,IF(L33="Catastrófico",1,))))))</f>
        <v/>
      </c>
      <c r="N33" s="320"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16">
        <v>1</v>
      </c>
      <c r="P33" s="316"/>
      <c r="Q33" s="108" t="str">
        <f t="shared" ref="Q33:Q35" si="17">IF(OR(R33="Preventivo",R33="Detectivo"),"Probabilidad",IF(R33="Correctivo","Impacto",""))</f>
        <v/>
      </c>
      <c r="R33" s="107"/>
      <c r="S33" s="107"/>
      <c r="T33" s="109" t="str">
        <f t="shared" ref="T33:T35" si="18">IF(AND(R33="Preventivo",S33="Automático"),"50%",IF(AND(R33="Preventivo",S33="Manual"),"40%",IF(AND(R33="Detectivo",S33="Automático"),"40%",IF(AND(R33="Detectivo",S33="Manual"),"30%",IF(AND(R33="Correctivo",S33="Automático"),"35%",IF(AND(R33="Correctivo",S33="Manual"),"25%",""))))))</f>
        <v/>
      </c>
      <c r="U33" s="107"/>
      <c r="V33" s="107"/>
      <c r="W33" s="107"/>
      <c r="X33" s="110" t="str">
        <f>IFERROR(IF(Q33="Probabilidad",(I33-(+I33*T33)),IF(Q33="Impacto",I33,"")),"")</f>
        <v/>
      </c>
      <c r="Y33" s="111" t="str">
        <f t="shared" ref="Y33:Y35" si="19">IFERROR(IF(X33="","",IF(X33&lt;=0.2,"Muy Baja",IF(X33&lt;=0.4,"Baja",IF(X33&lt;=0.6,"Media",IF(X33&lt;=0.8,"Alta","Muy Alta"))))),"")</f>
        <v/>
      </c>
      <c r="Z33" s="109" t="str">
        <f t="shared" ref="Z33:Z35" si="20">+X33</f>
        <v/>
      </c>
      <c r="AA33" s="111" t="str">
        <f t="shared" ref="AA33:AA35" si="21">IFERROR(IF(AB33="","",IF(AB33&lt;=0.2,"Leve",IF(AB33&lt;=0.4,"Menor",IF(AB33&lt;=0.6,"Moderado",IF(AB33&lt;=0.8,"Mayor","Catastrófico"))))),"")</f>
        <v/>
      </c>
      <c r="AB33" s="109" t="str">
        <f>IFERROR(IF(Q33="Impacto",(M33-(+M33*T33)),IF(Q33="Probabilidad",M33,"")),"")</f>
        <v/>
      </c>
      <c r="AC33" s="112" t="str">
        <f t="shared" ref="AC33:AC35" si="22">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335" t="b">
        <f t="shared" ref="AD33" si="23">IFERROR(IF(OR(AND(AC33="Bajo",AC34="Bajo",AC35="Bajo"),AND(AC33="Bajo",AC34="Bajo",AC35=""),AND(AC33="Bajo",AC34="",AC35="")),"Bajo",IF(OR(AND(AC33="Bajo",AC34="Bajo",AC35="Moderado"),AND(AC33="Bajo",AC34="Moderado",AC35="Moderado"),AND(AC33="Moderado",AC34="Moderado",AC35="Moderado"),,AND(AC33="Moderado",AC34="Bajo",AC35="Bajo"),AND(AC33="Bajo",AC34="Moderado",AC35=""),AND(AC33="Moderado",AC34="Bajo",AC35=""),AND(AC33="Moderado",AC34="Moderado",AC35=""),AND(AC33="Moderado",AC34="",AC35="")),"Moderado",IF(OR(AND(AC33="Bajo",AC34="Bajo",AC35="Alto"),AND(AC33="Bajo",AC34="Moderado",AC35="Alto"),AND(AC33="Moderado",AC34="Bajo",AC35="Alto"),AND(AC33="Moderado",AC34="Alto",AC35="Bajo"),AND(AC33="Moderado",AC34="Moderado",AC35="Alto"),AND(AC33="Alto",AC34="Bajo",AC35="Bajo"),AND(AC33="Alto",AC34="Moderado",AC35="Bajo"),AND(AC33="Alto",AC34="Moderado",AC35="Moderado"),AND(AC33="Alto",AC34="Alto",AC35="Bajo"),AND(AC33="Alto",AC34="Alto",AC35="Moderado"),AND(AC33="Alto",AC34="Alto",AC35="Alto"),AND(AC33="Alto",AC34="Bajo",AC35=""),AND(AC33="Alto",AC34="Moderado",AC35=""),AND(AC33="Alto",AC34="Alto",AC35=""),AND(AC33="Bajo",AC34="Alto",AC35=""),AND(AC33="Moderado",AC34="Alto",AC35=""),AND(AC33="Alto",AC34="",AC35="")),"Alto",IF(OR(AND(AC33="Bajo",AC34="Bajo",AC35="Extremo"),AND(AC33="Bajo",AC34="Moderado",AC35="Extremo"),AND(AC33="Bajo",AC34="Alto",AC35="Extremo"),AND(AC33="Moderado",AC34="Bajo",AC35="Extremo"),AND(AC33="Moderado",AC34="Alto",AC35="Extremo"),AND(AC33="Moderado",AC34="Moderado",AC35="Extremo"),AND(AC33="Alto",AC34="Bajo",AC35="Extremo"),AND(AC33="Alto",AC34="Moderado",AC35="Extremo"),AND(AC33="Alto",AC34="Alto",AC35="Extremo"),AND(AC33="Extremo",AC34="Bajo",AC35="Bajo"),AND(AC33="Extremo",AC34="Bajo",AC35="Moderado"),AND(AC33="Extremo",AC34="Bajo",AC35="Alto"),AND(AC33="Extremo",AC34="Moderado",AC35="Bajo"),AND(AC33="Extremo",AC34="Moderado",AC35="Moderado"),AND(AC33="Extremo",AC34="Moderado",AC35="Alto"),AND(AC33="Extremo",AC34="Alto",AC35="Bajo"),AND(AC33="Extremo",AC34="Alto",AC35="Moderado"),AND(AC33="Extremo",AC34="Alto",AC35="Alto"),AND(AC33="Extremo",AC34="Extremo",AC35="Bajo"),AND(AC33="Extremo",AC34="Extremo",AC35="Moderado"),AND(AC33="Extremo",AC34="Extremo",AC35="Alto"),AND(AC33="Extremo",AC34="Extremo",AC35="Extremo"),AND(AC33="Extremo",AC34="Bajo",AC35=""),AND(AC33="Extremo",AC34="Moderado",AC35=""),AND(AC33="Extremo",AC34="Alto",AC35=""),AND(AC33="Extremo",AC34="",AC35="")),"Extremo")))),"")</f>
        <v>0</v>
      </c>
      <c r="AE33" s="118"/>
    </row>
    <row r="34" spans="1:31" x14ac:dyDescent="0.2">
      <c r="A34" s="167"/>
      <c r="B34" s="333"/>
      <c r="C34" s="154"/>
      <c r="D34" s="154"/>
      <c r="E34" s="154"/>
      <c r="F34" s="154"/>
      <c r="G34" s="167"/>
      <c r="H34" s="327"/>
      <c r="I34" s="324"/>
      <c r="J34" s="330"/>
      <c r="K34" s="324"/>
      <c r="L34" s="327"/>
      <c r="M34" s="324"/>
      <c r="N34" s="321"/>
      <c r="O34" s="116">
        <v>2</v>
      </c>
      <c r="P34" s="316"/>
      <c r="Q34" s="108" t="str">
        <f t="shared" si="17"/>
        <v/>
      </c>
      <c r="R34" s="107"/>
      <c r="S34" s="107"/>
      <c r="T34" s="109" t="str">
        <f t="shared" si="18"/>
        <v/>
      </c>
      <c r="U34" s="107"/>
      <c r="V34" s="107"/>
      <c r="W34" s="107"/>
      <c r="X34" s="110" t="str">
        <f>IFERROR(IF(AND(Q33="Probabilidad",Q34="Probabilidad"),(Z33-(+Z33*T34)),IF(Q34="Probabilidad",(I33-(+I33*T34)),IF(Q34="Impacto",Z33,""))),"")</f>
        <v/>
      </c>
      <c r="Y34" s="111" t="str">
        <f t="shared" si="19"/>
        <v/>
      </c>
      <c r="Z34" s="109" t="str">
        <f t="shared" si="20"/>
        <v/>
      </c>
      <c r="AA34" s="111" t="str">
        <f t="shared" si="21"/>
        <v/>
      </c>
      <c r="AB34" s="109" t="str">
        <f>IFERROR(IF(AND(Q33="Impacto",Q34="Impacto"),(AB33-(+AB33*T34)),IF(Q34="Impacto",($M$15-(+$M$15*T34)),IF(Q34="Probabilidad",AB33,""))),"")</f>
        <v/>
      </c>
      <c r="AC34" s="112" t="str">
        <f t="shared" si="22"/>
        <v/>
      </c>
      <c r="AD34" s="336"/>
      <c r="AE34" s="119"/>
    </row>
    <row r="35" spans="1:31" x14ac:dyDescent="0.2">
      <c r="A35" s="168"/>
      <c r="B35" s="334"/>
      <c r="C35" s="155"/>
      <c r="D35" s="155"/>
      <c r="E35" s="155"/>
      <c r="F35" s="155"/>
      <c r="G35" s="168"/>
      <c r="H35" s="328"/>
      <c r="I35" s="325"/>
      <c r="J35" s="331"/>
      <c r="K35" s="325"/>
      <c r="L35" s="328"/>
      <c r="M35" s="325"/>
      <c r="N35" s="322"/>
      <c r="O35" s="116">
        <v>3</v>
      </c>
      <c r="P35" s="316"/>
      <c r="Q35" s="108" t="str">
        <f t="shared" si="17"/>
        <v/>
      </c>
      <c r="R35" s="107"/>
      <c r="S35" s="107"/>
      <c r="T35" s="109" t="str">
        <f t="shared" si="18"/>
        <v/>
      </c>
      <c r="U35" s="107"/>
      <c r="V35" s="107"/>
      <c r="W35" s="107"/>
      <c r="X35" s="110" t="str">
        <f>IFERROR(IF(AND(Q34="Probabilidad",Q35="Probabilidad"),(Z34-(+Z34*T35)),IF(AND(Q34="Impacto",Q35="Probabilidad"),(Z33-(+Z33*T35)),IF(Q35="Impacto",Z34,""))),"")</f>
        <v/>
      </c>
      <c r="Y35" s="111" t="str">
        <f t="shared" si="19"/>
        <v/>
      </c>
      <c r="Z35" s="109" t="str">
        <f t="shared" si="20"/>
        <v/>
      </c>
      <c r="AA35" s="111" t="str">
        <f t="shared" si="21"/>
        <v/>
      </c>
      <c r="AB35" s="109" t="str">
        <f>IFERROR(IF(AND(Q34="Impacto",Q35="Impacto"),(AB34-(+AB34*T35)),IF(AND(Q34="Probabilidad",Q35="Impacto"),(AB33-(+AB33*T35)),IF(Q35="Probabilidad",AB34,""))),"")</f>
        <v/>
      </c>
      <c r="AC35" s="112" t="str">
        <f t="shared" si="22"/>
        <v/>
      </c>
      <c r="AD35" s="337"/>
      <c r="AE35" s="120"/>
    </row>
  </sheetData>
  <sheetProtection sheet="1" formatCells="0" formatColumns="0" formatRows="0" insertColumns="0" insertRows="0" insertHyperlinks="0" deleteColumns="0" deleteRows="0" selectLockedCells="1" sort="0" autoFilter="0" pivotTables="0"/>
  <mergeCells count="161">
    <mergeCell ref="AD33:AD35"/>
    <mergeCell ref="AE33:AE35"/>
    <mergeCell ref="C18:C20"/>
    <mergeCell ref="C21:C23"/>
    <mergeCell ref="C24:C26"/>
    <mergeCell ref="C27:C29"/>
    <mergeCell ref="C30:C32"/>
    <mergeCell ref="C33:C35"/>
    <mergeCell ref="E15:E17"/>
    <mergeCell ref="C13:C14"/>
    <mergeCell ref="C15:C17"/>
    <mergeCell ref="C10:N10"/>
    <mergeCell ref="C11:N11"/>
    <mergeCell ref="A33:A35"/>
    <mergeCell ref="B33:B35"/>
    <mergeCell ref="D33:D35"/>
    <mergeCell ref="E33:E35"/>
    <mergeCell ref="F33:F35"/>
    <mergeCell ref="G33:G35"/>
    <mergeCell ref="H33:H35"/>
    <mergeCell ref="I33:I35"/>
    <mergeCell ref="J33:J35"/>
    <mergeCell ref="K33:K35"/>
    <mergeCell ref="L33:L35"/>
    <mergeCell ref="M33:M35"/>
    <mergeCell ref="N33:N35"/>
    <mergeCell ref="F4:J4"/>
    <mergeCell ref="F5:J5"/>
    <mergeCell ref="K4:O4"/>
    <mergeCell ref="K5:O5"/>
    <mergeCell ref="Y4:AE4"/>
    <mergeCell ref="Y5:AE5"/>
    <mergeCell ref="P4:X4"/>
    <mergeCell ref="P5:X5"/>
    <mergeCell ref="AD10:AD11"/>
    <mergeCell ref="AD18:AD20"/>
    <mergeCell ref="AD15:AD17"/>
    <mergeCell ref="AD13:AD14"/>
    <mergeCell ref="AD24:AD26"/>
    <mergeCell ref="AD27:AD29"/>
    <mergeCell ref="AD30:AD32"/>
    <mergeCell ref="AD21:AD23"/>
    <mergeCell ref="L30:L32"/>
    <mergeCell ref="M30:M32"/>
    <mergeCell ref="N30:N32"/>
    <mergeCell ref="J30:J32"/>
    <mergeCell ref="K30:K32"/>
    <mergeCell ref="L27:L29"/>
    <mergeCell ref="M27:M29"/>
    <mergeCell ref="N27:N29"/>
    <mergeCell ref="B13:B14"/>
    <mergeCell ref="D13:D14"/>
    <mergeCell ref="J13:J14"/>
    <mergeCell ref="K13:K14"/>
    <mergeCell ref="L13:L14"/>
    <mergeCell ref="AC13:AC14"/>
    <mergeCell ref="AE13:AE14"/>
    <mergeCell ref="E27:E29"/>
    <mergeCell ref="F27:F29"/>
    <mergeCell ref="G27:G29"/>
    <mergeCell ref="J27:J29"/>
    <mergeCell ref="K27:K29"/>
    <mergeCell ref="A30:A32"/>
    <mergeCell ref="B30:B32"/>
    <mergeCell ref="D30:D32"/>
    <mergeCell ref="E30:E32"/>
    <mergeCell ref="F30:F32"/>
    <mergeCell ref="G30:G32"/>
    <mergeCell ref="H30:H32"/>
    <mergeCell ref="I30:I32"/>
    <mergeCell ref="A15:A17"/>
    <mergeCell ref="B15:B17"/>
    <mergeCell ref="D15:D17"/>
    <mergeCell ref="F15:F17"/>
    <mergeCell ref="H27:H29"/>
    <mergeCell ref="I27:I29"/>
    <mergeCell ref="E13:E14"/>
    <mergeCell ref="F13:F14"/>
    <mergeCell ref="G13:G14"/>
    <mergeCell ref="H13:H14"/>
    <mergeCell ref="I13:I14"/>
    <mergeCell ref="H21:H23"/>
    <mergeCell ref="I21:I23"/>
    <mergeCell ref="H18:H20"/>
    <mergeCell ref="I18:I20"/>
    <mergeCell ref="G15:G17"/>
    <mergeCell ref="H15:H17"/>
    <mergeCell ref="I15:I17"/>
    <mergeCell ref="A27:A29"/>
    <mergeCell ref="B27:B29"/>
    <mergeCell ref="D27:D29"/>
    <mergeCell ref="M13:M14"/>
    <mergeCell ref="N13:N14"/>
    <mergeCell ref="O13:O14"/>
    <mergeCell ref="M15:M17"/>
    <mergeCell ref="N15:N17"/>
    <mergeCell ref="Z13:Z14"/>
    <mergeCell ref="AA13:AA14"/>
    <mergeCell ref="AB13:AB14"/>
    <mergeCell ref="AE15:AE17"/>
    <mergeCell ref="J15:J17"/>
    <mergeCell ref="K15:K17"/>
    <mergeCell ref="L15:L17"/>
    <mergeCell ref="A7:AE8"/>
    <mergeCell ref="A10:B10"/>
    <mergeCell ref="O10:Q10"/>
    <mergeCell ref="A11:B11"/>
    <mergeCell ref="A12:G12"/>
    <mergeCell ref="H12:N12"/>
    <mergeCell ref="O12:W12"/>
    <mergeCell ref="X12:AE12"/>
    <mergeCell ref="A13:A14"/>
    <mergeCell ref="P13:P14"/>
    <mergeCell ref="Q13:Q14"/>
    <mergeCell ref="R13:W13"/>
    <mergeCell ref="X13:X14"/>
    <mergeCell ref="Y13:Y14"/>
    <mergeCell ref="N21:N23"/>
    <mergeCell ref="A21:A23"/>
    <mergeCell ref="B21:B23"/>
    <mergeCell ref="D21:D23"/>
    <mergeCell ref="E21:E23"/>
    <mergeCell ref="F21:F23"/>
    <mergeCell ref="G21:G23"/>
    <mergeCell ref="N24:N26"/>
    <mergeCell ref="A24:A26"/>
    <mergeCell ref="B24:B26"/>
    <mergeCell ref="D24:D26"/>
    <mergeCell ref="E24:E26"/>
    <mergeCell ref="F24:F26"/>
    <mergeCell ref="G24:G26"/>
    <mergeCell ref="H24:H26"/>
    <mergeCell ref="I24:I26"/>
    <mergeCell ref="J24:J26"/>
    <mergeCell ref="K24:K26"/>
    <mergeCell ref="L24:L26"/>
    <mergeCell ref="M24:M26"/>
    <mergeCell ref="D18:D20"/>
    <mergeCell ref="E18:E20"/>
    <mergeCell ref="F18:F20"/>
    <mergeCell ref="G18:G20"/>
    <mergeCell ref="J21:J23"/>
    <mergeCell ref="K21:K23"/>
    <mergeCell ref="L21:L23"/>
    <mergeCell ref="M21:M23"/>
    <mergeCell ref="AE18:AE20"/>
    <mergeCell ref="AE21:AE23"/>
    <mergeCell ref="AE24:AE26"/>
    <mergeCell ref="AE27:AE29"/>
    <mergeCell ref="AE30:AE32"/>
    <mergeCell ref="A1:E5"/>
    <mergeCell ref="F1:AE1"/>
    <mergeCell ref="F2:AE2"/>
    <mergeCell ref="F3:AE3"/>
    <mergeCell ref="J18:J20"/>
    <mergeCell ref="K18:K20"/>
    <mergeCell ref="L18:L20"/>
    <mergeCell ref="M18:M20"/>
    <mergeCell ref="N18:N20"/>
    <mergeCell ref="A18:A20"/>
    <mergeCell ref="B18:B20"/>
  </mergeCells>
  <conditionalFormatting sqref="H15 H18 H21 H24 H27 Y15:Y32 H30">
    <cfRule type="cellIs" dxfId="37" priority="201" operator="equal">
      <formula>"Muy Alta"</formula>
    </cfRule>
    <cfRule type="cellIs" dxfId="36" priority="202" operator="equal">
      <formula>"Alta"</formula>
    </cfRule>
    <cfRule type="cellIs" dxfId="35" priority="203" operator="equal">
      <formula>"Media"</formula>
    </cfRule>
    <cfRule type="cellIs" dxfId="34" priority="204" operator="equal">
      <formula>"Baja"</formula>
    </cfRule>
    <cfRule type="cellIs" dxfId="33" priority="205" operator="equal">
      <formula>"Muy Baja"</formula>
    </cfRule>
  </conditionalFormatting>
  <conditionalFormatting sqref="K15:K32">
    <cfRule type="containsText" dxfId="32" priority="206" operator="containsText" text="❌">
      <formula>NOT(ISERROR(SEARCH(("❌"),(K15))))</formula>
    </cfRule>
  </conditionalFormatting>
  <conditionalFormatting sqref="L15 L18 L21 L24 L27 AA15:AA32 L30">
    <cfRule type="cellIs" dxfId="31" priority="171" operator="equal">
      <formula>"Catastrófico"</formula>
    </cfRule>
    <cfRule type="cellIs" dxfId="30" priority="172" operator="equal">
      <formula>"Mayor"</formula>
    </cfRule>
    <cfRule type="cellIs" dxfId="29" priority="173" operator="equal">
      <formula>"Moderado"</formula>
    </cfRule>
    <cfRule type="cellIs" dxfId="28" priority="174" operator="equal">
      <formula>"Menor"</formula>
    </cfRule>
    <cfRule type="cellIs" dxfId="27" priority="175" operator="equal">
      <formula>"Leve"</formula>
    </cfRule>
  </conditionalFormatting>
  <conditionalFormatting sqref="N15 N18 N21 N24 N27 AC15:AC32 N30">
    <cfRule type="cellIs" dxfId="26" priority="142" operator="equal">
      <formula>"Extremo"</formula>
    </cfRule>
    <cfRule type="cellIs" dxfId="25" priority="143" operator="equal">
      <formula>"Alto"</formula>
    </cfRule>
    <cfRule type="cellIs" dxfId="24" priority="144" operator="equal">
      <formula>"Moderado"</formula>
    </cfRule>
    <cfRule type="cellIs" dxfId="23" priority="145" operator="equal">
      <formula>"Bajo"</formula>
    </cfRule>
  </conditionalFormatting>
  <conditionalFormatting sqref="AD10:AD13">
    <cfRule type="cellIs" dxfId="22" priority="434" operator="equal">
      <formula>"Extremo"</formula>
    </cfRule>
    <cfRule type="cellIs" dxfId="21" priority="435" operator="equal">
      <formula>"Alto"</formula>
    </cfRule>
    <cfRule type="cellIs" dxfId="20" priority="436" operator="equal">
      <formula>"Moderado"</formula>
    </cfRule>
    <cfRule type="cellIs" dxfId="19" priority="437" operator="equal">
      <formula>"Bajo"</formula>
    </cfRule>
  </conditionalFormatting>
  <conditionalFormatting sqref="Y33:Y35 H33">
    <cfRule type="cellIs" dxfId="18" priority="14" operator="equal">
      <formula>"Muy Alta"</formula>
    </cfRule>
    <cfRule type="cellIs" dxfId="17" priority="15" operator="equal">
      <formula>"Alta"</formula>
    </cfRule>
    <cfRule type="cellIs" dxfId="16" priority="16" operator="equal">
      <formula>"Media"</formula>
    </cfRule>
    <cfRule type="cellIs" dxfId="15" priority="17" operator="equal">
      <formula>"Baja"</formula>
    </cfRule>
    <cfRule type="cellIs" dxfId="14" priority="18" operator="equal">
      <formula>"Muy Baja"</formula>
    </cfRule>
  </conditionalFormatting>
  <conditionalFormatting sqref="K33:K35">
    <cfRule type="containsText" dxfId="13" priority="19" operator="containsText" text="❌">
      <formula>NOT(ISERROR(SEARCH(("❌"),(K33))))</formula>
    </cfRule>
  </conditionalFormatting>
  <conditionalFormatting sqref="AA33:AA35 L33">
    <cfRule type="cellIs" dxfId="12" priority="9" operator="equal">
      <formula>"Catastrófico"</formula>
    </cfRule>
    <cfRule type="cellIs" dxfId="11" priority="10" operator="equal">
      <formula>"Mayor"</formula>
    </cfRule>
    <cfRule type="cellIs" dxfId="10" priority="11" operator="equal">
      <formula>"Moderado"</formula>
    </cfRule>
    <cfRule type="cellIs" dxfId="9" priority="12" operator="equal">
      <formula>"Menor"</formula>
    </cfRule>
    <cfRule type="cellIs" dxfId="8" priority="13" operator="equal">
      <formula>"Leve"</formula>
    </cfRule>
  </conditionalFormatting>
  <conditionalFormatting sqref="AC33:AC35 N33">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conditionalFormatting sqref="AD15:AD16 AD18:AD19 AD21:AD22 AD24:AD25 AD27:AD28 AD30:AD31 AD33:AD34">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1">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15:P17 P19:P35"/>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ErrorMessage="1">
          <x14:formula1>
            <xm:f>'Opciones Tratamiento'!$B$2:$B$5</xm:f>
          </x14:formula1>
          <xm:sqref>AE15 AE18 AE21 AE24 AE27 AE30 AE33</xm:sqref>
        </x14:dataValidation>
        <x14:dataValidation type="list" allowBlank="1" showErrorMessage="1">
          <x14:formula1>
            <xm:f>'Tabla Valoración controles'!$D$9:$D$10</xm:f>
          </x14:formula1>
          <xm:sqref>U15:U35</xm:sqref>
        </x14:dataValidation>
        <x14:dataValidation type="list" allowBlank="1" showErrorMessage="1">
          <x14:formula1>
            <xm:f>'Tabla Valoración controles'!$D$11:$D$12</xm:f>
          </x14:formula1>
          <xm:sqref>V15:V35</xm:sqref>
        </x14:dataValidation>
        <x14:dataValidation type="list" allowBlank="1" showErrorMessage="1">
          <x14:formula1>
            <xm:f>'Tabla Valoración controles'!$D$13:$D$14</xm:f>
          </x14:formula1>
          <xm:sqref>W15:W35</xm:sqref>
        </x14:dataValidation>
        <x14:dataValidation type="list" allowBlank="1" showErrorMessage="1">
          <x14:formula1>
            <xm:f>'Tabla Valoración controles'!$D$7:$D$8</xm:f>
          </x14:formula1>
          <xm:sqref>S15:S35</xm:sqref>
        </x14:dataValidation>
        <x14:dataValidation type="list" allowBlank="1" showErrorMessage="1">
          <x14:formula1>
            <xm:f>'Tabla Valoración controles'!$D$4:$D$6</xm:f>
          </x14:formula1>
          <xm:sqref>R15:R35</xm:sqref>
        </x14:dataValidation>
        <x14:dataValidation type="list" allowBlank="1" showErrorMessage="1">
          <x14:formula1>
            <xm:f>'Tabla probabilidad'!$C$220:$C$222</xm:f>
          </x14:formula1>
          <xm:sqref>C15:C35</xm:sqref>
        </x14:dataValidation>
        <x14:dataValidation type="list" allowBlank="1" showErrorMessage="1">
          <x14:formula1>
            <xm:f>'Tabla Impacto'!$F$210:$F$215</xm:f>
          </x14:formula1>
          <xm:sqref>J15:J35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153</v>
      </c>
    </row>
    <row r="4" spans="1:1" ht="12.75" customHeight="1" x14ac:dyDescent="0.2">
      <c r="A4" s="97" t="s">
        <v>155</v>
      </c>
    </row>
    <row r="5" spans="1:1" ht="12.75" customHeight="1" x14ac:dyDescent="0.2">
      <c r="A5" s="97" t="s">
        <v>157</v>
      </c>
    </row>
    <row r="6" spans="1:1" ht="12.75" customHeight="1" x14ac:dyDescent="0.2">
      <c r="A6" s="97" t="s">
        <v>159</v>
      </c>
    </row>
    <row r="7" spans="1:1" ht="12.75" customHeight="1" x14ac:dyDescent="0.2">
      <c r="A7" s="97" t="s">
        <v>161</v>
      </c>
    </row>
    <row r="8" spans="1:1" ht="12.75" customHeight="1" x14ac:dyDescent="0.2">
      <c r="A8" s="97" t="s">
        <v>164</v>
      </c>
    </row>
    <row r="9" spans="1:1" ht="12.75" customHeight="1" x14ac:dyDescent="0.2">
      <c r="A9" s="97" t="s">
        <v>167</v>
      </c>
    </row>
    <row r="10" spans="1:1" ht="12.75" customHeight="1" x14ac:dyDescent="0.2">
      <c r="A10" s="97" t="s">
        <v>169</v>
      </c>
    </row>
    <row r="11" spans="1:1" ht="12.75" customHeight="1" x14ac:dyDescent="0.2">
      <c r="A11" s="97" t="s">
        <v>171</v>
      </c>
    </row>
    <row r="12" spans="1:1" ht="12.75" customHeight="1" x14ac:dyDescent="0.2">
      <c r="A12" s="97" t="s">
        <v>195</v>
      </c>
    </row>
    <row r="13" spans="1:1" ht="12.75" customHeight="1" x14ac:dyDescent="0.2">
      <c r="A13" s="97" t="s">
        <v>196</v>
      </c>
    </row>
    <row r="14" spans="1:1" ht="12.75" customHeight="1" x14ac:dyDescent="0.2">
      <c r="A14" s="97" t="s">
        <v>197</v>
      </c>
    </row>
    <row r="15" spans="1:1" ht="12.75" customHeight="1" x14ac:dyDescent="0.2">
      <c r="A15" s="96"/>
    </row>
    <row r="16" spans="1:1" ht="12.75" customHeight="1" x14ac:dyDescent="0.2">
      <c r="A16" s="97" t="s">
        <v>198</v>
      </c>
    </row>
    <row r="17" spans="1:1" ht="12.75" customHeight="1" x14ac:dyDescent="0.2">
      <c r="A17" s="97" t="s">
        <v>178</v>
      </c>
    </row>
    <row r="18" spans="1:1" ht="12.75" customHeight="1" x14ac:dyDescent="0.2">
      <c r="A18" s="97" t="s">
        <v>180</v>
      </c>
    </row>
    <row r="19" spans="1:1" ht="12.75" customHeight="1" x14ac:dyDescent="0.2">
      <c r="A19" s="96"/>
    </row>
    <row r="20" spans="1:1" ht="12.75" customHeight="1" x14ac:dyDescent="0.2">
      <c r="A20" s="97" t="s">
        <v>186</v>
      </c>
    </row>
    <row r="21" spans="1:1" ht="12.75" customHeight="1" x14ac:dyDescent="0.2">
      <c r="A21" s="97" t="s">
        <v>187</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workbookViewId="0">
      <selection activeCell="B4" sqref="B4:H5"/>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172" t="s">
        <v>0</v>
      </c>
      <c r="C2" s="173"/>
      <c r="D2" s="173"/>
      <c r="E2" s="173"/>
      <c r="F2" s="173"/>
      <c r="G2" s="173"/>
      <c r="H2" s="174"/>
    </row>
    <row r="3" spans="2:8" ht="14.25" x14ac:dyDescent="0.2">
      <c r="B3" s="2"/>
      <c r="C3" s="3"/>
      <c r="D3" s="3"/>
      <c r="E3" s="3"/>
      <c r="F3" s="3"/>
      <c r="G3" s="3"/>
      <c r="H3" s="4"/>
    </row>
    <row r="4" spans="2:8" ht="63" customHeight="1" x14ac:dyDescent="0.2">
      <c r="B4" s="175" t="s">
        <v>1</v>
      </c>
      <c r="C4" s="176"/>
      <c r="D4" s="176"/>
      <c r="E4" s="176"/>
      <c r="F4" s="176"/>
      <c r="G4" s="176"/>
      <c r="H4" s="177"/>
    </row>
    <row r="5" spans="2:8" ht="63" customHeight="1" x14ac:dyDescent="0.2">
      <c r="B5" s="178"/>
      <c r="C5" s="179"/>
      <c r="D5" s="179"/>
      <c r="E5" s="179"/>
      <c r="F5" s="179"/>
      <c r="G5" s="179"/>
      <c r="H5" s="180"/>
    </row>
    <row r="6" spans="2:8" ht="14.25" x14ac:dyDescent="0.2">
      <c r="B6" s="181" t="s">
        <v>2</v>
      </c>
      <c r="C6" s="182"/>
      <c r="D6" s="182"/>
      <c r="E6" s="182"/>
      <c r="F6" s="182"/>
      <c r="G6" s="182"/>
      <c r="H6" s="183"/>
    </row>
    <row r="7" spans="2:8" ht="95.25" customHeight="1" x14ac:dyDescent="0.2">
      <c r="B7" s="184" t="s">
        <v>234</v>
      </c>
      <c r="C7" s="185"/>
      <c r="D7" s="185"/>
      <c r="E7" s="185"/>
      <c r="F7" s="185"/>
      <c r="G7" s="185"/>
      <c r="H7" s="186"/>
    </row>
    <row r="8" spans="2:8" ht="16.5" x14ac:dyDescent="0.2">
      <c r="B8" s="5"/>
      <c r="C8" s="6"/>
      <c r="D8" s="6"/>
      <c r="E8" s="6"/>
      <c r="F8" s="6"/>
      <c r="G8" s="6"/>
      <c r="H8" s="7"/>
    </row>
    <row r="9" spans="2:8" ht="16.5" customHeight="1" x14ac:dyDescent="0.2">
      <c r="B9" s="187" t="s">
        <v>3</v>
      </c>
      <c r="C9" s="176"/>
      <c r="D9" s="176"/>
      <c r="E9" s="176"/>
      <c r="F9" s="176"/>
      <c r="G9" s="176"/>
      <c r="H9" s="177"/>
    </row>
    <row r="10" spans="2:8" ht="44.25" customHeight="1" x14ac:dyDescent="0.2">
      <c r="B10" s="188"/>
      <c r="C10" s="176"/>
      <c r="D10" s="176"/>
      <c r="E10" s="176"/>
      <c r="F10" s="176"/>
      <c r="G10" s="176"/>
      <c r="H10" s="177"/>
    </row>
    <row r="11" spans="2:8" ht="14.25" x14ac:dyDescent="0.2">
      <c r="B11" s="8"/>
      <c r="C11" s="9"/>
      <c r="D11" s="10"/>
      <c r="E11" s="11"/>
      <c r="F11" s="11"/>
      <c r="G11" s="11"/>
      <c r="H11" s="12"/>
    </row>
    <row r="12" spans="2:8" ht="14.25" x14ac:dyDescent="0.2">
      <c r="B12" s="8"/>
      <c r="C12" s="189" t="s">
        <v>4</v>
      </c>
      <c r="D12" s="190"/>
      <c r="E12" s="191" t="s">
        <v>5</v>
      </c>
      <c r="F12" s="192"/>
      <c r="G12" s="9"/>
      <c r="H12" s="12"/>
    </row>
    <row r="13" spans="2:8" ht="35.25" customHeight="1" x14ac:dyDescent="0.2">
      <c r="B13" s="8"/>
      <c r="C13" s="193" t="s">
        <v>6</v>
      </c>
      <c r="D13" s="194"/>
      <c r="E13" s="195" t="s">
        <v>7</v>
      </c>
      <c r="F13" s="196"/>
      <c r="G13" s="9"/>
      <c r="H13" s="12"/>
    </row>
    <row r="14" spans="2:8" ht="17.25" customHeight="1" x14ac:dyDescent="0.2">
      <c r="B14" s="8"/>
      <c r="C14" s="193" t="s">
        <v>8</v>
      </c>
      <c r="D14" s="194"/>
      <c r="E14" s="195" t="s">
        <v>9</v>
      </c>
      <c r="F14" s="196"/>
      <c r="G14" s="9"/>
      <c r="H14" s="12"/>
    </row>
    <row r="15" spans="2:8" ht="19.5" customHeight="1" x14ac:dyDescent="0.2">
      <c r="B15" s="8"/>
      <c r="C15" s="193" t="s">
        <v>10</v>
      </c>
      <c r="D15" s="194"/>
      <c r="E15" s="195" t="s">
        <v>11</v>
      </c>
      <c r="F15" s="196"/>
      <c r="G15" s="9"/>
      <c r="H15" s="12"/>
    </row>
    <row r="16" spans="2:8" ht="69.75" customHeight="1" x14ac:dyDescent="0.2">
      <c r="B16" s="8"/>
      <c r="C16" s="193" t="s">
        <v>12</v>
      </c>
      <c r="D16" s="194"/>
      <c r="E16" s="195" t="s">
        <v>13</v>
      </c>
      <c r="F16" s="196"/>
      <c r="G16" s="9"/>
      <c r="H16" s="12"/>
    </row>
    <row r="17" spans="3:6" ht="34.5" customHeight="1" x14ac:dyDescent="0.2">
      <c r="C17" s="197" t="s">
        <v>14</v>
      </c>
      <c r="D17" s="198"/>
      <c r="E17" s="199" t="s">
        <v>15</v>
      </c>
      <c r="F17" s="200"/>
    </row>
    <row r="18" spans="3:6" s="117" customFormat="1" ht="74.25" customHeight="1" x14ac:dyDescent="0.2">
      <c r="C18" s="197" t="s">
        <v>232</v>
      </c>
      <c r="D18" s="198"/>
      <c r="E18" s="195" t="s">
        <v>233</v>
      </c>
      <c r="F18" s="196"/>
    </row>
    <row r="19" spans="3:6" ht="27.75" customHeight="1" x14ac:dyDescent="0.2">
      <c r="C19" s="197" t="s">
        <v>16</v>
      </c>
      <c r="D19" s="198"/>
      <c r="E19" s="199" t="s">
        <v>17</v>
      </c>
      <c r="F19" s="200"/>
    </row>
    <row r="20" spans="3:6" ht="28.5" customHeight="1" x14ac:dyDescent="0.2">
      <c r="C20" s="197" t="s">
        <v>18</v>
      </c>
      <c r="D20" s="198"/>
      <c r="E20" s="199" t="s">
        <v>19</v>
      </c>
      <c r="F20" s="200"/>
    </row>
    <row r="21" spans="3:6" ht="72.75" customHeight="1" x14ac:dyDescent="0.2">
      <c r="C21" s="197" t="s">
        <v>20</v>
      </c>
      <c r="D21" s="198"/>
      <c r="E21" s="199" t="s">
        <v>21</v>
      </c>
      <c r="F21" s="200"/>
    </row>
    <row r="22" spans="3:6" ht="71.25" customHeight="1" x14ac:dyDescent="0.2">
      <c r="C22" s="197" t="s">
        <v>22</v>
      </c>
      <c r="D22" s="198"/>
      <c r="E22" s="199" t="s">
        <v>23</v>
      </c>
      <c r="F22" s="200"/>
    </row>
    <row r="23" spans="3:6" ht="55.5" customHeight="1" x14ac:dyDescent="0.2">
      <c r="C23" s="197" t="s">
        <v>24</v>
      </c>
      <c r="D23" s="198"/>
      <c r="E23" s="199" t="s">
        <v>25</v>
      </c>
      <c r="F23" s="200"/>
    </row>
    <row r="24" spans="3:6" ht="42" customHeight="1" x14ac:dyDescent="0.2">
      <c r="C24" s="197" t="s">
        <v>26</v>
      </c>
      <c r="D24" s="198"/>
      <c r="E24" s="199" t="s">
        <v>27</v>
      </c>
      <c r="F24" s="200"/>
    </row>
    <row r="25" spans="3:6" ht="59.25" customHeight="1" x14ac:dyDescent="0.2">
      <c r="C25" s="197" t="s">
        <v>28</v>
      </c>
      <c r="D25" s="198"/>
      <c r="E25" s="199" t="s">
        <v>29</v>
      </c>
      <c r="F25" s="200"/>
    </row>
    <row r="26" spans="3:6" ht="23.25" customHeight="1" x14ac:dyDescent="0.2">
      <c r="C26" s="197" t="s">
        <v>30</v>
      </c>
      <c r="D26" s="198"/>
      <c r="E26" s="199" t="s">
        <v>31</v>
      </c>
      <c r="F26" s="200"/>
    </row>
    <row r="27" spans="3:6" ht="30.75" customHeight="1" x14ac:dyDescent="0.2">
      <c r="C27" s="197" t="s">
        <v>32</v>
      </c>
      <c r="D27" s="198"/>
      <c r="E27" s="199" t="s">
        <v>33</v>
      </c>
      <c r="F27" s="200"/>
    </row>
    <row r="28" spans="3:6" ht="35.25" customHeight="1" x14ac:dyDescent="0.2">
      <c r="C28" s="197" t="s">
        <v>34</v>
      </c>
      <c r="D28" s="198"/>
      <c r="E28" s="199" t="s">
        <v>35</v>
      </c>
      <c r="F28" s="200"/>
    </row>
    <row r="29" spans="3:6" ht="33" customHeight="1" x14ac:dyDescent="0.2">
      <c r="C29" s="197" t="s">
        <v>36</v>
      </c>
      <c r="D29" s="198"/>
      <c r="E29" s="199" t="s">
        <v>35</v>
      </c>
      <c r="F29" s="200"/>
    </row>
    <row r="30" spans="3:6" ht="30" customHeight="1" x14ac:dyDescent="0.2">
      <c r="C30" s="197" t="s">
        <v>37</v>
      </c>
      <c r="D30" s="198"/>
      <c r="E30" s="199" t="s">
        <v>38</v>
      </c>
      <c r="F30" s="200"/>
    </row>
    <row r="31" spans="3:6" ht="35.25" customHeight="1" x14ac:dyDescent="0.2">
      <c r="C31" s="197" t="s">
        <v>39</v>
      </c>
      <c r="D31" s="198"/>
      <c r="E31" s="199" t="s">
        <v>40</v>
      </c>
      <c r="F31" s="200"/>
    </row>
    <row r="32" spans="3:6" ht="31.5" customHeight="1" x14ac:dyDescent="0.2">
      <c r="C32" s="197" t="s">
        <v>41</v>
      </c>
      <c r="D32" s="198"/>
      <c r="E32" s="199" t="s">
        <v>42</v>
      </c>
      <c r="F32" s="200"/>
    </row>
    <row r="33" spans="2:8" ht="35.25" customHeight="1" x14ac:dyDescent="0.2">
      <c r="B33" s="8"/>
      <c r="C33" s="197" t="s">
        <v>43</v>
      </c>
      <c r="D33" s="198"/>
      <c r="E33" s="199" t="s">
        <v>44</v>
      </c>
      <c r="F33" s="200"/>
      <c r="G33" s="9"/>
      <c r="H33" s="12"/>
    </row>
    <row r="34" spans="2:8" ht="59.25" customHeight="1" x14ac:dyDescent="0.2">
      <c r="B34" s="8"/>
      <c r="C34" s="197" t="s">
        <v>45</v>
      </c>
      <c r="D34" s="198"/>
      <c r="E34" s="199" t="s">
        <v>46</v>
      </c>
      <c r="F34" s="200"/>
      <c r="G34" s="9"/>
      <c r="H34" s="12"/>
    </row>
    <row r="35" spans="2:8" ht="29.25" customHeight="1" x14ac:dyDescent="0.2">
      <c r="B35" s="8"/>
      <c r="C35" s="197" t="s">
        <v>47</v>
      </c>
      <c r="D35" s="198"/>
      <c r="E35" s="199" t="s">
        <v>48</v>
      </c>
      <c r="F35" s="200"/>
      <c r="G35" s="9"/>
      <c r="H35" s="12"/>
    </row>
    <row r="36" spans="2:8" ht="6.75" customHeight="1" x14ac:dyDescent="0.2">
      <c r="B36" s="8"/>
      <c r="C36" s="206"/>
      <c r="D36" s="207"/>
      <c r="E36" s="201"/>
      <c r="F36" s="202"/>
      <c r="G36" s="9"/>
      <c r="H36" s="12"/>
    </row>
    <row r="37" spans="2:8" ht="15.75" customHeight="1" x14ac:dyDescent="0.2">
      <c r="B37" s="8"/>
      <c r="C37" s="13"/>
      <c r="D37" s="13"/>
      <c r="E37" s="14"/>
      <c r="F37" s="14"/>
      <c r="G37" s="9"/>
      <c r="H37" s="12"/>
    </row>
    <row r="38" spans="2:8" ht="21" customHeight="1" x14ac:dyDescent="0.2">
      <c r="B38" s="203" t="s">
        <v>49</v>
      </c>
      <c r="C38" s="204"/>
      <c r="D38" s="204"/>
      <c r="E38" s="204"/>
      <c r="F38" s="204"/>
      <c r="G38" s="204"/>
      <c r="H38" s="205"/>
    </row>
    <row r="39" spans="2:8" ht="20.25" customHeight="1" x14ac:dyDescent="0.2">
      <c r="B39" s="203" t="s">
        <v>50</v>
      </c>
      <c r="C39" s="204"/>
      <c r="D39" s="204"/>
      <c r="E39" s="204"/>
      <c r="F39" s="204"/>
      <c r="G39" s="204"/>
      <c r="H39" s="205"/>
    </row>
    <row r="40" spans="2:8" ht="20.25" customHeight="1" x14ac:dyDescent="0.2">
      <c r="B40" s="203" t="s">
        <v>51</v>
      </c>
      <c r="C40" s="204"/>
      <c r="D40" s="204"/>
      <c r="E40" s="204"/>
      <c r="F40" s="204"/>
      <c r="G40" s="204"/>
      <c r="H40" s="205"/>
    </row>
    <row r="41" spans="2:8" ht="20.25" customHeight="1" x14ac:dyDescent="0.2">
      <c r="B41" s="203" t="s">
        <v>52</v>
      </c>
      <c r="C41" s="204"/>
      <c r="D41" s="204"/>
      <c r="E41" s="204"/>
      <c r="F41" s="204"/>
      <c r="G41" s="204"/>
      <c r="H41" s="205"/>
    </row>
    <row r="42" spans="2:8" ht="15.75" customHeight="1" x14ac:dyDescent="0.2">
      <c r="B42" s="203" t="s">
        <v>53</v>
      </c>
      <c r="C42" s="204"/>
      <c r="D42" s="204"/>
      <c r="E42" s="204"/>
      <c r="F42" s="204"/>
      <c r="G42" s="204"/>
      <c r="H42" s="205"/>
    </row>
    <row r="46" spans="2:8" ht="15" customHeight="1" x14ac:dyDescent="0.2">
      <c r="B46" s="313"/>
    </row>
  </sheetData>
  <sheetProtection sheet="1" objects="1" scenarios="1"/>
  <mergeCells count="60">
    <mergeCell ref="C18:D18"/>
    <mergeCell ref="E18:F18"/>
    <mergeCell ref="B41:H41"/>
    <mergeCell ref="B42:H42"/>
    <mergeCell ref="E31:F31"/>
    <mergeCell ref="E32:F32"/>
    <mergeCell ref="E33:F33"/>
    <mergeCell ref="E34:F34"/>
    <mergeCell ref="E35:F35"/>
    <mergeCell ref="E30:F30"/>
    <mergeCell ref="E36:F36"/>
    <mergeCell ref="B38:H38"/>
    <mergeCell ref="B39:H39"/>
    <mergeCell ref="B40:H40"/>
    <mergeCell ref="C36:D36"/>
    <mergeCell ref="C30:D30"/>
    <mergeCell ref="C31:D31"/>
    <mergeCell ref="C32:D32"/>
    <mergeCell ref="C33:D33"/>
    <mergeCell ref="C34:D34"/>
    <mergeCell ref="C35:D35"/>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9:F19"/>
    <mergeCell ref="E20:F20"/>
    <mergeCell ref="E21:F21"/>
    <mergeCell ref="E22:F22"/>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51"/>
  <sheetViews>
    <sheetView zoomScale="40" zoomScaleNormal="40" workbookViewId="0">
      <selection activeCell="AH46" sqref="AH46:AM51"/>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50" t="s">
        <v>79</v>
      </c>
      <c r="C2" s="176"/>
      <c r="D2" s="176"/>
      <c r="E2" s="176"/>
      <c r="F2" s="176"/>
      <c r="G2" s="176"/>
      <c r="H2" s="176"/>
      <c r="I2" s="176"/>
      <c r="J2" s="251" t="s">
        <v>14</v>
      </c>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13"/>
      <c r="AN2" s="1"/>
      <c r="AO2" s="1"/>
      <c r="AP2" s="1"/>
      <c r="AQ2" s="1"/>
      <c r="AR2" s="1"/>
      <c r="AS2" s="1"/>
      <c r="AT2" s="1"/>
    </row>
    <row r="3" spans="2:46" ht="18.75" customHeight="1" x14ac:dyDescent="0.25">
      <c r="B3" s="176"/>
      <c r="C3" s="176"/>
      <c r="D3" s="176"/>
      <c r="E3" s="176"/>
      <c r="F3" s="176"/>
      <c r="G3" s="176"/>
      <c r="H3" s="176"/>
      <c r="I3" s="176"/>
      <c r="J3" s="253"/>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254"/>
      <c r="AN3" s="1"/>
      <c r="AO3" s="1"/>
      <c r="AP3" s="1"/>
      <c r="AQ3" s="1"/>
      <c r="AR3" s="1"/>
      <c r="AS3" s="1"/>
      <c r="AT3" s="1"/>
    </row>
    <row r="4" spans="2:46" ht="15" customHeight="1" x14ac:dyDescent="0.25">
      <c r="B4" s="176"/>
      <c r="C4" s="176"/>
      <c r="D4" s="176"/>
      <c r="E4" s="176"/>
      <c r="F4" s="176"/>
      <c r="G4" s="176"/>
      <c r="H4" s="176"/>
      <c r="I4" s="176"/>
      <c r="J4" s="210"/>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15"/>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256" t="s">
        <v>80</v>
      </c>
      <c r="C6" s="252"/>
      <c r="D6" s="209"/>
      <c r="E6" s="244" t="s">
        <v>81</v>
      </c>
      <c r="F6" s="245"/>
      <c r="G6" s="245"/>
      <c r="H6" s="245"/>
      <c r="I6" s="227"/>
      <c r="J6" s="217" t="str">
        <f>IF(AND('Mapa final'!$H$15="Muy Alta",'Mapa final'!$L$15="Leve"),CONCATENATE("R",'Mapa final'!$A$15),"")</f>
        <v/>
      </c>
      <c r="K6" s="218"/>
      <c r="L6" s="219" t="str">
        <f>IF(AND('Mapa final'!$H$18="Muy Alta",'Mapa final'!$L$18="Leve"),CONCATENATE("R",'Mapa final'!$A$18),"")</f>
        <v/>
      </c>
      <c r="M6" s="218"/>
      <c r="N6" s="219" t="str">
        <f>IF(AND('Mapa final'!$H$21="Muy Alta",'Mapa final'!$L$21="Leve"),CONCATENATE("R",'Mapa final'!$A$21),"")</f>
        <v/>
      </c>
      <c r="O6" s="227"/>
      <c r="P6" s="217" t="str">
        <f>IF(AND('Mapa final'!$H$15="Muy Alta",'Mapa final'!$L$15="Menor"),CONCATENATE("R",'Mapa final'!$A$15),"")</f>
        <v/>
      </c>
      <c r="Q6" s="218"/>
      <c r="R6" s="219" t="str">
        <f>IF(AND('Mapa final'!$H$18="Muy Alta",'Mapa final'!$L$18="Menor"),CONCATENATE("R",'Mapa final'!$A$18),"")</f>
        <v/>
      </c>
      <c r="S6" s="218"/>
      <c r="T6" s="219" t="str">
        <f>IF(AND('Mapa final'!$H$21="Muy Alta",'Mapa final'!$L$21="Menor"),CONCATENATE("R",'Mapa final'!$A$21),"")</f>
        <v/>
      </c>
      <c r="U6" s="227"/>
      <c r="V6" s="217" t="str">
        <f>IF(AND('Mapa final'!$H$15="Muy Alta",'Mapa final'!$L$15="Moderado"),CONCATENATE("R",'Mapa final'!$A$15),"")</f>
        <v/>
      </c>
      <c r="W6" s="218"/>
      <c r="X6" s="219" t="str">
        <f>IF(AND('Mapa final'!$H$18="Muy Alta",'Mapa final'!$L$18="Moderado"),CONCATENATE("R",'Mapa final'!$A$18),"")</f>
        <v/>
      </c>
      <c r="Y6" s="218"/>
      <c r="Z6" s="219" t="str">
        <f>IF(AND('Mapa final'!$H$21="Muy Alta",'Mapa final'!$L$21="Moderado"),CONCATENATE("R",'Mapa final'!$A$21),"")</f>
        <v/>
      </c>
      <c r="AA6" s="227"/>
      <c r="AB6" s="217" t="str">
        <f>IF(AND('Mapa final'!$H$15="Muy Alta",'Mapa final'!$L$15="Mayor"),CONCATENATE("R",'Mapa final'!$A$15),"")</f>
        <v/>
      </c>
      <c r="AC6" s="218"/>
      <c r="AD6" s="219" t="str">
        <f>IF(AND('Mapa final'!$H$18="Muy Alta",'Mapa final'!$L$18="Mayor"),CONCATENATE("R",'Mapa final'!$A$18),"")</f>
        <v/>
      </c>
      <c r="AE6" s="218"/>
      <c r="AF6" s="219" t="str">
        <f>IF(AND('Mapa final'!$H$21="Muy Alta",'Mapa final'!$L$21="Mayor"),CONCATENATE("R",'Mapa final'!$A$21),"")</f>
        <v/>
      </c>
      <c r="AG6" s="227"/>
      <c r="AH6" s="229" t="str">
        <f>IF(AND('Mapa final'!$H$15="Muy Alta",'Mapa final'!$L$15="Catastrófico"),CONCATENATE("R",'Mapa final'!$A$15),"")</f>
        <v/>
      </c>
      <c r="AI6" s="218"/>
      <c r="AJ6" s="221" t="str">
        <f>IF(AND('Mapa final'!$H$18="Muy Alta",'Mapa final'!$L$18="Catastrófico"),CONCATENATE("R",'Mapa final'!$A$18),"")</f>
        <v/>
      </c>
      <c r="AK6" s="218"/>
      <c r="AL6" s="221" t="str">
        <f>IF(AND('Mapa final'!$H$21="Muy Alta",'Mapa final'!$L$21="Catastrófico"),CONCATENATE("R",'Mapa final'!$A$21),"")</f>
        <v/>
      </c>
      <c r="AM6" s="227"/>
      <c r="AO6" s="243" t="s">
        <v>82</v>
      </c>
      <c r="AP6" s="234"/>
      <c r="AQ6" s="234"/>
      <c r="AR6" s="234"/>
      <c r="AS6" s="234"/>
      <c r="AT6" s="235"/>
    </row>
    <row r="7" spans="2:46" ht="15" customHeight="1" x14ac:dyDescent="0.25">
      <c r="B7" s="253"/>
      <c r="C7" s="176"/>
      <c r="D7" s="177"/>
      <c r="E7" s="188"/>
      <c r="F7" s="176"/>
      <c r="G7" s="176"/>
      <c r="H7" s="176"/>
      <c r="I7" s="177"/>
      <c r="J7" s="214"/>
      <c r="K7" s="215"/>
      <c r="L7" s="210"/>
      <c r="M7" s="215"/>
      <c r="N7" s="210"/>
      <c r="O7" s="211"/>
      <c r="P7" s="214"/>
      <c r="Q7" s="215"/>
      <c r="R7" s="210"/>
      <c r="S7" s="215"/>
      <c r="T7" s="210"/>
      <c r="U7" s="211"/>
      <c r="V7" s="214"/>
      <c r="W7" s="215"/>
      <c r="X7" s="210"/>
      <c r="Y7" s="215"/>
      <c r="Z7" s="210"/>
      <c r="AA7" s="211"/>
      <c r="AB7" s="214"/>
      <c r="AC7" s="215"/>
      <c r="AD7" s="210"/>
      <c r="AE7" s="215"/>
      <c r="AF7" s="210"/>
      <c r="AG7" s="211"/>
      <c r="AH7" s="214"/>
      <c r="AI7" s="215"/>
      <c r="AJ7" s="210"/>
      <c r="AK7" s="215"/>
      <c r="AL7" s="210"/>
      <c r="AM7" s="211"/>
      <c r="AN7" s="1"/>
      <c r="AO7" s="236"/>
      <c r="AP7" s="176"/>
      <c r="AQ7" s="176"/>
      <c r="AR7" s="176"/>
      <c r="AS7" s="176"/>
      <c r="AT7" s="237"/>
    </row>
    <row r="8" spans="2:46" ht="15" customHeight="1" x14ac:dyDescent="0.25">
      <c r="B8" s="253"/>
      <c r="C8" s="176"/>
      <c r="D8" s="177"/>
      <c r="E8" s="188"/>
      <c r="F8" s="176"/>
      <c r="G8" s="176"/>
      <c r="H8" s="176"/>
      <c r="I8" s="177"/>
      <c r="J8" s="220" t="str">
        <f>IF(AND('Mapa final'!$H$24="Muy Alta",'Mapa final'!$L$24="Leve"),CONCATENATE("R",'Mapa final'!$A$24),"")</f>
        <v/>
      </c>
      <c r="K8" s="213"/>
      <c r="L8" s="208" t="str">
        <f>IF(AND('Mapa final'!$H$27="Muy Alta",'Mapa final'!$L$27="Leve"),CONCATENATE("R",'Mapa final'!$A$27),"")</f>
        <v/>
      </c>
      <c r="M8" s="213"/>
      <c r="N8" s="208" t="str">
        <f>IF(AND('Mapa final'!$H$30="Muy Alta",'Mapa final'!$L$30="Leve"),CONCATENATE("R",'Mapa final'!$A$30),"")</f>
        <v/>
      </c>
      <c r="O8" s="209"/>
      <c r="P8" s="220" t="str">
        <f>IF(AND('Mapa final'!$H$24="Muy Alta",'Mapa final'!$L$24="Menor"),CONCATENATE("R",'Mapa final'!$A$24),"")</f>
        <v/>
      </c>
      <c r="Q8" s="213"/>
      <c r="R8" s="208" t="str">
        <f>IF(AND('Mapa final'!$H$27="Muy Alta",'Mapa final'!$L$27="Menor"),CONCATENATE("R",'Mapa final'!$A$27),"")</f>
        <v/>
      </c>
      <c r="S8" s="213"/>
      <c r="T8" s="208" t="str">
        <f>IF(AND('Mapa final'!$H$30="Muy Alta",'Mapa final'!$L$30="Menor"),CONCATENATE("R",'Mapa final'!$A$30),"")</f>
        <v/>
      </c>
      <c r="U8" s="209"/>
      <c r="V8" s="220" t="str">
        <f>IF(AND('Mapa final'!$H$24="Muy Alta",'Mapa final'!$L$24="Moderado"),CONCATENATE("R",'Mapa final'!$A$24),"")</f>
        <v/>
      </c>
      <c r="W8" s="213"/>
      <c r="X8" s="208" t="str">
        <f>IF(AND('Mapa final'!$H$27="Muy Alta",'Mapa final'!$L$27="Moderado"),CONCATENATE("R",'Mapa final'!$A$27),"")</f>
        <v/>
      </c>
      <c r="Y8" s="213"/>
      <c r="Z8" s="208" t="str">
        <f>IF(AND('Mapa final'!$H$30="Muy Alta",'Mapa final'!$L$30="Moderado"),CONCATENATE("R",'Mapa final'!$A$30),"")</f>
        <v/>
      </c>
      <c r="AA8" s="209"/>
      <c r="AB8" s="220" t="str">
        <f>IF(AND('Mapa final'!$H$24="Muy Alta",'Mapa final'!$L$24="Mayor"),CONCATENATE("R",'Mapa final'!$A$24),"")</f>
        <v/>
      </c>
      <c r="AC8" s="213"/>
      <c r="AD8" s="208" t="str">
        <f>IF(AND('Mapa final'!$H$27="Muy Alta",'Mapa final'!$L$27="Mayor"),CONCATENATE("R",'Mapa final'!$A$27),"")</f>
        <v/>
      </c>
      <c r="AE8" s="213"/>
      <c r="AF8" s="208" t="str">
        <f>IF(AND('Mapa final'!$H$30="Muy Alta",'Mapa final'!$L$30="Mayor"),CONCATENATE("R",'Mapa final'!$A$30),"")</f>
        <v/>
      </c>
      <c r="AG8" s="209"/>
      <c r="AH8" s="212" t="str">
        <f>IF(AND('Mapa final'!$H$24="Muy Alta",'Mapa final'!$L$24="Catastrófico"),CONCATENATE("R",'Mapa final'!$A$24),"")</f>
        <v/>
      </c>
      <c r="AI8" s="213"/>
      <c r="AJ8" s="216" t="str">
        <f>IF(AND('Mapa final'!$H$27="Muy Alta",'Mapa final'!$L$27="Catastrófico"),CONCATENATE("R",'Mapa final'!$A$27),"")</f>
        <v/>
      </c>
      <c r="AK8" s="213"/>
      <c r="AL8" s="216" t="str">
        <f>IF(AND('Mapa final'!$H$30="Muy Alta",'Mapa final'!$L$30="Catastrófico"),CONCATENATE("R",'Mapa final'!$A$30),"")</f>
        <v/>
      </c>
      <c r="AM8" s="209"/>
      <c r="AN8" s="1"/>
      <c r="AO8" s="236"/>
      <c r="AP8" s="176"/>
      <c r="AQ8" s="176"/>
      <c r="AR8" s="176"/>
      <c r="AS8" s="176"/>
      <c r="AT8" s="237"/>
    </row>
    <row r="9" spans="2:46" ht="15" customHeight="1" x14ac:dyDescent="0.25">
      <c r="B9" s="253"/>
      <c r="C9" s="176"/>
      <c r="D9" s="177"/>
      <c r="E9" s="188"/>
      <c r="F9" s="176"/>
      <c r="G9" s="176"/>
      <c r="H9" s="176"/>
      <c r="I9" s="177"/>
      <c r="J9" s="214"/>
      <c r="K9" s="215"/>
      <c r="L9" s="210"/>
      <c r="M9" s="215"/>
      <c r="N9" s="210"/>
      <c r="O9" s="211"/>
      <c r="P9" s="214"/>
      <c r="Q9" s="215"/>
      <c r="R9" s="210"/>
      <c r="S9" s="215"/>
      <c r="T9" s="210"/>
      <c r="U9" s="211"/>
      <c r="V9" s="214"/>
      <c r="W9" s="215"/>
      <c r="X9" s="210"/>
      <c r="Y9" s="215"/>
      <c r="Z9" s="210"/>
      <c r="AA9" s="211"/>
      <c r="AB9" s="214"/>
      <c r="AC9" s="215"/>
      <c r="AD9" s="210"/>
      <c r="AE9" s="215"/>
      <c r="AF9" s="210"/>
      <c r="AG9" s="211"/>
      <c r="AH9" s="214"/>
      <c r="AI9" s="215"/>
      <c r="AJ9" s="210"/>
      <c r="AK9" s="215"/>
      <c r="AL9" s="210"/>
      <c r="AM9" s="211"/>
      <c r="AN9" s="1"/>
      <c r="AO9" s="236"/>
      <c r="AP9" s="176"/>
      <c r="AQ9" s="176"/>
      <c r="AR9" s="176"/>
      <c r="AS9" s="176"/>
      <c r="AT9" s="237"/>
    </row>
    <row r="10" spans="2:46" ht="15" customHeight="1" x14ac:dyDescent="0.25">
      <c r="B10" s="253"/>
      <c r="C10" s="176"/>
      <c r="D10" s="177"/>
      <c r="E10" s="188"/>
      <c r="F10" s="176"/>
      <c r="G10" s="176"/>
      <c r="H10" s="176"/>
      <c r="I10" s="177"/>
      <c r="J10" s="220" t="e">
        <f>IF(AND('Mapa final'!#REF!="Muy Alta",'Mapa final'!#REF!="Leve"),CONCATENATE("R",'Mapa final'!#REF!),"")</f>
        <v>#REF!</v>
      </c>
      <c r="K10" s="213"/>
      <c r="L10" s="208" t="e">
        <f>IF(AND('Mapa final'!#REF!="Muy Alta",'Mapa final'!#REF!="Leve"),CONCATENATE("R",'Mapa final'!#REF!),"")</f>
        <v>#REF!</v>
      </c>
      <c r="M10" s="213"/>
      <c r="N10" s="208" t="e">
        <f>IF(AND('Mapa final'!#REF!="Muy Alta",'Mapa final'!#REF!="Leve"),CONCATENATE("R",'Mapa final'!#REF!),"")</f>
        <v>#REF!</v>
      </c>
      <c r="O10" s="209"/>
      <c r="P10" s="220" t="e">
        <f>IF(AND('Mapa final'!#REF!="Muy Alta",'Mapa final'!#REF!="Menor"),CONCATENATE("R",'Mapa final'!#REF!),"")</f>
        <v>#REF!</v>
      </c>
      <c r="Q10" s="213"/>
      <c r="R10" s="208" t="e">
        <f>IF(AND('Mapa final'!#REF!="Muy Alta",'Mapa final'!#REF!="Menor"),CONCATENATE("R",'Mapa final'!#REF!),"")</f>
        <v>#REF!</v>
      </c>
      <c r="S10" s="213"/>
      <c r="T10" s="208" t="e">
        <f>IF(AND('Mapa final'!#REF!="Muy Alta",'Mapa final'!#REF!="Menor"),CONCATENATE("R",'Mapa final'!#REF!),"")</f>
        <v>#REF!</v>
      </c>
      <c r="U10" s="209"/>
      <c r="V10" s="220" t="e">
        <f>IF(AND('Mapa final'!#REF!="Muy Alta",'Mapa final'!#REF!="Moderado"),CONCATENATE("R",'Mapa final'!#REF!),"")</f>
        <v>#REF!</v>
      </c>
      <c r="W10" s="213"/>
      <c r="X10" s="208" t="e">
        <f>IF(AND('Mapa final'!#REF!="Muy Alta",'Mapa final'!#REF!="Moderado"),CONCATENATE("R",'Mapa final'!#REF!),"")</f>
        <v>#REF!</v>
      </c>
      <c r="Y10" s="213"/>
      <c r="Z10" s="208" t="e">
        <f>IF(AND('Mapa final'!#REF!="Muy Alta",'Mapa final'!#REF!="Moderado"),CONCATENATE("R",'Mapa final'!#REF!),"")</f>
        <v>#REF!</v>
      </c>
      <c r="AA10" s="209"/>
      <c r="AB10" s="220" t="e">
        <f>IF(AND('Mapa final'!#REF!="Muy Alta",'Mapa final'!#REF!="Mayor"),CONCATENATE("R",'Mapa final'!#REF!),"")</f>
        <v>#REF!</v>
      </c>
      <c r="AC10" s="213"/>
      <c r="AD10" s="208" t="e">
        <f>IF(AND('Mapa final'!#REF!="Muy Alta",'Mapa final'!#REF!="Mayor"),CONCATENATE("R",'Mapa final'!#REF!),"")</f>
        <v>#REF!</v>
      </c>
      <c r="AE10" s="213"/>
      <c r="AF10" s="208" t="e">
        <f>IF(AND('Mapa final'!#REF!="Muy Alta",'Mapa final'!#REF!="Mayor"),CONCATENATE("R",'Mapa final'!#REF!),"")</f>
        <v>#REF!</v>
      </c>
      <c r="AG10" s="209"/>
      <c r="AH10" s="212" t="e">
        <f>IF(AND('Mapa final'!#REF!="Muy Alta",'Mapa final'!#REF!="Catastrófico"),CONCATENATE("R",'Mapa final'!#REF!),"")</f>
        <v>#REF!</v>
      </c>
      <c r="AI10" s="213"/>
      <c r="AJ10" s="216" t="e">
        <f>IF(AND('Mapa final'!#REF!="Muy Alta",'Mapa final'!#REF!="Catastrófico"),CONCATENATE("R",'Mapa final'!#REF!),"")</f>
        <v>#REF!</v>
      </c>
      <c r="AK10" s="213"/>
      <c r="AL10" s="216" t="e">
        <f>IF(AND('Mapa final'!#REF!="Muy Alta",'Mapa final'!#REF!="Catastrófico"),CONCATENATE("R",'Mapa final'!#REF!),"")</f>
        <v>#REF!</v>
      </c>
      <c r="AM10" s="209"/>
      <c r="AN10" s="1"/>
      <c r="AO10" s="236"/>
      <c r="AP10" s="176"/>
      <c r="AQ10" s="176"/>
      <c r="AR10" s="176"/>
      <c r="AS10" s="176"/>
      <c r="AT10" s="237"/>
    </row>
    <row r="11" spans="2:46" ht="15" customHeight="1" x14ac:dyDescent="0.25">
      <c r="B11" s="253"/>
      <c r="C11" s="176"/>
      <c r="D11" s="177"/>
      <c r="E11" s="188"/>
      <c r="F11" s="176"/>
      <c r="G11" s="176"/>
      <c r="H11" s="176"/>
      <c r="I11" s="177"/>
      <c r="J11" s="214"/>
      <c r="K11" s="215"/>
      <c r="L11" s="210"/>
      <c r="M11" s="215"/>
      <c r="N11" s="210"/>
      <c r="O11" s="211"/>
      <c r="P11" s="214"/>
      <c r="Q11" s="215"/>
      <c r="R11" s="210"/>
      <c r="S11" s="215"/>
      <c r="T11" s="210"/>
      <c r="U11" s="211"/>
      <c r="V11" s="214"/>
      <c r="W11" s="215"/>
      <c r="X11" s="210"/>
      <c r="Y11" s="215"/>
      <c r="Z11" s="210"/>
      <c r="AA11" s="211"/>
      <c r="AB11" s="214"/>
      <c r="AC11" s="215"/>
      <c r="AD11" s="210"/>
      <c r="AE11" s="215"/>
      <c r="AF11" s="210"/>
      <c r="AG11" s="211"/>
      <c r="AH11" s="214"/>
      <c r="AI11" s="215"/>
      <c r="AJ11" s="210"/>
      <c r="AK11" s="215"/>
      <c r="AL11" s="210"/>
      <c r="AM11" s="211"/>
      <c r="AN11" s="1"/>
      <c r="AO11" s="236"/>
      <c r="AP11" s="176"/>
      <c r="AQ11" s="176"/>
      <c r="AR11" s="176"/>
      <c r="AS11" s="176"/>
      <c r="AT11" s="237"/>
    </row>
    <row r="12" spans="2:46" ht="15" customHeight="1" x14ac:dyDescent="0.25">
      <c r="B12" s="253"/>
      <c r="C12" s="176"/>
      <c r="D12" s="177"/>
      <c r="E12" s="188"/>
      <c r="F12" s="176"/>
      <c r="G12" s="176"/>
      <c r="H12" s="176"/>
      <c r="I12" s="177"/>
      <c r="J12" s="220" t="e">
        <f>IF(AND('Mapa final'!#REF!="Muy Alta",'Mapa final'!#REF!="Leve"),CONCATENATE("R",'Mapa final'!#REF!),"")</f>
        <v>#REF!</v>
      </c>
      <c r="K12" s="213"/>
      <c r="L12" s="208" t="e">
        <f>IF(AND('Mapa final'!#REF!="Muy Alta",'Mapa final'!#REF!="Leve"),CONCATENATE("R",'Mapa final'!#REF!),"")</f>
        <v>#REF!</v>
      </c>
      <c r="M12" s="213"/>
      <c r="N12" s="208" t="str">
        <f>IF(AND('Mapa final'!$H$37="Muy Alta",'Mapa final'!$L$37="Leve"),CONCATENATE("R",'Mapa final'!$A$37),"")</f>
        <v/>
      </c>
      <c r="O12" s="209"/>
      <c r="P12" s="220" t="e">
        <f>IF(AND('Mapa final'!#REF!="Muy Alta",'Mapa final'!#REF!="Menor"),CONCATENATE("R",'Mapa final'!#REF!),"")</f>
        <v>#REF!</v>
      </c>
      <c r="Q12" s="213"/>
      <c r="R12" s="208" t="e">
        <f>IF(AND('Mapa final'!#REF!="Muy Alta",'Mapa final'!#REF!="Menor"),CONCATENATE("R",'Mapa final'!#REF!),"")</f>
        <v>#REF!</v>
      </c>
      <c r="S12" s="213"/>
      <c r="T12" s="208" t="str">
        <f>IF(AND('Mapa final'!$H$37="Muy Alta",'Mapa final'!$L$37="Menor"),CONCATENATE("R",'Mapa final'!$A$37),"")</f>
        <v/>
      </c>
      <c r="U12" s="209"/>
      <c r="V12" s="220" t="e">
        <f>IF(AND('Mapa final'!#REF!="Muy Alta",'Mapa final'!#REF!="Moderado"),CONCATENATE("R",'Mapa final'!#REF!),"")</f>
        <v>#REF!</v>
      </c>
      <c r="W12" s="213"/>
      <c r="X12" s="208" t="e">
        <f>IF(AND('Mapa final'!#REF!="Muy Alta",'Mapa final'!#REF!="Moderado"),CONCATENATE("R",'Mapa final'!#REF!),"")</f>
        <v>#REF!</v>
      </c>
      <c r="Y12" s="213"/>
      <c r="Z12" s="208" t="str">
        <f>IF(AND('Mapa final'!$H$37="Muy Alta",'Mapa final'!$L$37="Moderado"),CONCATENATE("R",'Mapa final'!$A$37),"")</f>
        <v/>
      </c>
      <c r="AA12" s="209"/>
      <c r="AB12" s="220" t="e">
        <f>IF(AND('Mapa final'!#REF!="Muy Alta",'Mapa final'!#REF!="Mayor"),CONCATENATE("R",'Mapa final'!#REF!),"")</f>
        <v>#REF!</v>
      </c>
      <c r="AC12" s="213"/>
      <c r="AD12" s="208" t="e">
        <f>IF(AND('Mapa final'!#REF!="Muy Alta",'Mapa final'!#REF!="Mayor"),CONCATENATE("R",'Mapa final'!#REF!),"")</f>
        <v>#REF!</v>
      </c>
      <c r="AE12" s="213"/>
      <c r="AF12" s="208" t="str">
        <f>IF(AND('Mapa final'!$H$37="Muy Alta",'Mapa final'!$L$37="Mayor"),CONCATENATE("R",'Mapa final'!$A$37),"")</f>
        <v/>
      </c>
      <c r="AG12" s="209"/>
      <c r="AH12" s="212" t="e">
        <f>IF(AND('Mapa final'!#REF!="Muy Alta",'Mapa final'!#REF!="Catastrófico"),CONCATENATE("R",'Mapa final'!#REF!),"")</f>
        <v>#REF!</v>
      </c>
      <c r="AI12" s="213"/>
      <c r="AJ12" s="216" t="e">
        <f>IF(AND('Mapa final'!#REF!="Muy Alta",'Mapa final'!#REF!="Catastrófico"),CONCATENATE("R",'Mapa final'!#REF!),"")</f>
        <v>#REF!</v>
      </c>
      <c r="AK12" s="213"/>
      <c r="AL12" s="216" t="str">
        <f>IF(AND('Mapa final'!$H$37="Muy Alta",'Mapa final'!$L$37="Catastrófico"),CONCATENATE("R",'Mapa final'!$A$37),"")</f>
        <v/>
      </c>
      <c r="AM12" s="209"/>
      <c r="AN12" s="1"/>
      <c r="AO12" s="236"/>
      <c r="AP12" s="176"/>
      <c r="AQ12" s="176"/>
      <c r="AR12" s="176"/>
      <c r="AS12" s="176"/>
      <c r="AT12" s="237"/>
    </row>
    <row r="13" spans="2:46" ht="15.75" customHeight="1" x14ac:dyDescent="0.25">
      <c r="B13" s="253"/>
      <c r="C13" s="176"/>
      <c r="D13" s="177"/>
      <c r="E13" s="222"/>
      <c r="F13" s="246"/>
      <c r="G13" s="246"/>
      <c r="H13" s="246"/>
      <c r="I13" s="225"/>
      <c r="J13" s="214"/>
      <c r="K13" s="215"/>
      <c r="L13" s="210"/>
      <c r="M13" s="215"/>
      <c r="N13" s="210"/>
      <c r="O13" s="211"/>
      <c r="P13" s="214"/>
      <c r="Q13" s="215"/>
      <c r="R13" s="210"/>
      <c r="S13" s="215"/>
      <c r="T13" s="210"/>
      <c r="U13" s="211"/>
      <c r="V13" s="214"/>
      <c r="W13" s="215"/>
      <c r="X13" s="210"/>
      <c r="Y13" s="215"/>
      <c r="Z13" s="210"/>
      <c r="AA13" s="211"/>
      <c r="AB13" s="214"/>
      <c r="AC13" s="215"/>
      <c r="AD13" s="210"/>
      <c r="AE13" s="215"/>
      <c r="AF13" s="210"/>
      <c r="AG13" s="211"/>
      <c r="AH13" s="222"/>
      <c r="AI13" s="223"/>
      <c r="AJ13" s="224"/>
      <c r="AK13" s="223"/>
      <c r="AL13" s="224"/>
      <c r="AM13" s="225"/>
      <c r="AN13" s="1"/>
      <c r="AO13" s="238"/>
      <c r="AP13" s="239"/>
      <c r="AQ13" s="239"/>
      <c r="AR13" s="239"/>
      <c r="AS13" s="239"/>
      <c r="AT13" s="240"/>
    </row>
    <row r="14" spans="2:46" ht="15" customHeight="1" x14ac:dyDescent="0.25">
      <c r="B14" s="253"/>
      <c r="C14" s="176"/>
      <c r="D14" s="177"/>
      <c r="E14" s="244" t="s">
        <v>83</v>
      </c>
      <c r="F14" s="245"/>
      <c r="G14" s="245"/>
      <c r="H14" s="245"/>
      <c r="I14" s="245"/>
      <c r="J14" s="228" t="str">
        <f>IF(AND('Mapa final'!$H$15="Alta",'Mapa final'!$L$15="Leve"),CONCATENATE("R",'Mapa final'!$A$15),"")</f>
        <v/>
      </c>
      <c r="K14" s="218"/>
      <c r="L14" s="226" t="str">
        <f>IF(AND('Mapa final'!$H$18="Alta",'Mapa final'!$L$18="Leve"),CONCATENATE("R",'Mapa final'!$A$18),"")</f>
        <v/>
      </c>
      <c r="M14" s="218"/>
      <c r="N14" s="226" t="str">
        <f>IF(AND('Mapa final'!$H$21="Alta",'Mapa final'!$L$21="Leve"),CONCATENATE("R",'Mapa final'!$A$21),"")</f>
        <v/>
      </c>
      <c r="O14" s="227"/>
      <c r="P14" s="228" t="str">
        <f>IF(AND('Mapa final'!$H$15="Alta",'Mapa final'!$L$15="Menor"),CONCATENATE("R",'Mapa final'!$A$15),"")</f>
        <v/>
      </c>
      <c r="Q14" s="218"/>
      <c r="R14" s="226" t="str">
        <f>IF(AND('Mapa final'!$H$18="Alta",'Mapa final'!$L$18="Menor"),CONCATENATE("R",'Mapa final'!$A$18),"")</f>
        <v/>
      </c>
      <c r="S14" s="218"/>
      <c r="T14" s="226" t="str">
        <f>IF(AND('Mapa final'!$H$21="Alta",'Mapa final'!$L$21="Menor"),CONCATENATE("R",'Mapa final'!$A$21),"")</f>
        <v/>
      </c>
      <c r="U14" s="227"/>
      <c r="V14" s="217" t="str">
        <f>IF(AND('Mapa final'!$H$15="Alta",'Mapa final'!$L$15="Moderado"),CONCATENATE("R",'Mapa final'!$A$15),"")</f>
        <v/>
      </c>
      <c r="W14" s="218"/>
      <c r="X14" s="219" t="str">
        <f>IF(AND('Mapa final'!$H$18="Alta",'Mapa final'!$L$18="Moderado"),CONCATENATE("R",'Mapa final'!$A$18),"")</f>
        <v/>
      </c>
      <c r="Y14" s="218"/>
      <c r="Z14" s="219" t="str">
        <f>IF(AND('Mapa final'!$H$21="Alta",'Mapa final'!$L$21="Moderado"),CONCATENATE("R",'Mapa final'!$A$21),"")</f>
        <v/>
      </c>
      <c r="AA14" s="227"/>
      <c r="AB14" s="217" t="str">
        <f>IF(AND('Mapa final'!$H$15="Alta",'Mapa final'!$L$15="Mayor"),CONCATENATE("R",'Mapa final'!$A$15),"")</f>
        <v/>
      </c>
      <c r="AC14" s="218"/>
      <c r="AD14" s="219" t="str">
        <f>IF(AND('Mapa final'!$H$18="Alta",'Mapa final'!$L$18="Mayor"),CONCATENATE("R",'Mapa final'!$A$18),"")</f>
        <v/>
      </c>
      <c r="AE14" s="218"/>
      <c r="AF14" s="219" t="str">
        <f>IF(AND('Mapa final'!$H$21="Alta",'Mapa final'!$L$21="Mayor"),CONCATENATE("R",'Mapa final'!$A$21),"")</f>
        <v/>
      </c>
      <c r="AG14" s="227"/>
      <c r="AH14" s="229" t="str">
        <f>IF(AND('Mapa final'!$H$15="Alta",'Mapa final'!$L$15="Catastrófico"),CONCATENATE("R",'Mapa final'!$A$15),"")</f>
        <v/>
      </c>
      <c r="AI14" s="218"/>
      <c r="AJ14" s="221" t="str">
        <f>IF(AND('Mapa final'!$H$18="Alta",'Mapa final'!$L$18="Catastrófico"),CONCATENATE("R",'Mapa final'!$A$18),"")</f>
        <v/>
      </c>
      <c r="AK14" s="218"/>
      <c r="AL14" s="221" t="str">
        <f>IF(AND('Mapa final'!$H$21="Alta",'Mapa final'!$L$21="Catastrófico"),CONCATENATE("R",'Mapa final'!$A$21),"")</f>
        <v/>
      </c>
      <c r="AM14" s="227"/>
      <c r="AN14" s="1"/>
      <c r="AO14" s="241" t="s">
        <v>84</v>
      </c>
      <c r="AP14" s="234"/>
      <c r="AQ14" s="234"/>
      <c r="AR14" s="234"/>
      <c r="AS14" s="234"/>
      <c r="AT14" s="235"/>
    </row>
    <row r="15" spans="2:46" ht="15" customHeight="1" x14ac:dyDescent="0.25">
      <c r="B15" s="253"/>
      <c r="C15" s="176"/>
      <c r="D15" s="177"/>
      <c r="E15" s="188"/>
      <c r="F15" s="176"/>
      <c r="G15" s="176"/>
      <c r="H15" s="176"/>
      <c r="I15" s="176"/>
      <c r="J15" s="214"/>
      <c r="K15" s="215"/>
      <c r="L15" s="210"/>
      <c r="M15" s="215"/>
      <c r="N15" s="210"/>
      <c r="O15" s="211"/>
      <c r="P15" s="214"/>
      <c r="Q15" s="215"/>
      <c r="R15" s="210"/>
      <c r="S15" s="215"/>
      <c r="T15" s="210"/>
      <c r="U15" s="211"/>
      <c r="V15" s="214"/>
      <c r="W15" s="215"/>
      <c r="X15" s="210"/>
      <c r="Y15" s="215"/>
      <c r="Z15" s="210"/>
      <c r="AA15" s="211"/>
      <c r="AB15" s="214"/>
      <c r="AC15" s="215"/>
      <c r="AD15" s="210"/>
      <c r="AE15" s="215"/>
      <c r="AF15" s="210"/>
      <c r="AG15" s="211"/>
      <c r="AH15" s="214"/>
      <c r="AI15" s="215"/>
      <c r="AJ15" s="210"/>
      <c r="AK15" s="215"/>
      <c r="AL15" s="210"/>
      <c r="AM15" s="211"/>
      <c r="AN15" s="1"/>
      <c r="AO15" s="236"/>
      <c r="AP15" s="176"/>
      <c r="AQ15" s="176"/>
      <c r="AR15" s="176"/>
      <c r="AS15" s="176"/>
      <c r="AT15" s="237"/>
    </row>
    <row r="16" spans="2:46" ht="15" customHeight="1" x14ac:dyDescent="0.25">
      <c r="B16" s="253"/>
      <c r="C16" s="176"/>
      <c r="D16" s="177"/>
      <c r="E16" s="188"/>
      <c r="F16" s="176"/>
      <c r="G16" s="176"/>
      <c r="H16" s="176"/>
      <c r="I16" s="176"/>
      <c r="J16" s="232" t="str">
        <f>IF(AND('Mapa final'!$H$24="Alta",'Mapa final'!$L$24="Leve"),CONCATENATE("R",'Mapa final'!$A$24),"")</f>
        <v/>
      </c>
      <c r="K16" s="213"/>
      <c r="L16" s="231" t="str">
        <f>IF(AND('Mapa final'!$H$27="Alta",'Mapa final'!$L$27="Leve"),CONCATENATE("R",'Mapa final'!$A$27),"")</f>
        <v/>
      </c>
      <c r="M16" s="213"/>
      <c r="N16" s="231" t="str">
        <f>IF(AND('Mapa final'!$H$30="Alta",'Mapa final'!$L$30="Leve"),CONCATENATE("R",'Mapa final'!$A$30),"")</f>
        <v/>
      </c>
      <c r="O16" s="209"/>
      <c r="P16" s="232" t="str">
        <f>IF(AND('Mapa final'!$H$24="Alta",'Mapa final'!$L$24="Menor"),CONCATENATE("R",'Mapa final'!$A$24),"")</f>
        <v/>
      </c>
      <c r="Q16" s="213"/>
      <c r="R16" s="231" t="str">
        <f>IF(AND('Mapa final'!$H$27="Alta",'Mapa final'!$L$27="Menor"),CONCATENATE("R",'Mapa final'!$A$27),"")</f>
        <v/>
      </c>
      <c r="S16" s="213"/>
      <c r="T16" s="231" t="str">
        <f>IF(AND('Mapa final'!$H$30="Alta",'Mapa final'!$L$30="Menor"),CONCATENATE("R",'Mapa final'!$A$30),"")</f>
        <v/>
      </c>
      <c r="U16" s="209"/>
      <c r="V16" s="220" t="str">
        <f>IF(AND('Mapa final'!$H$24="Alta",'Mapa final'!$L$24="Moderado"),CONCATENATE("R",'Mapa final'!$A$24),"")</f>
        <v/>
      </c>
      <c r="W16" s="213"/>
      <c r="X16" s="208" t="str">
        <f>IF(AND('Mapa final'!$H$27="Alta",'Mapa final'!$L$27="Moderado"),CONCATENATE("R",'Mapa final'!$A$27),"")</f>
        <v/>
      </c>
      <c r="Y16" s="213"/>
      <c r="Z16" s="208" t="str">
        <f>IF(AND('Mapa final'!$H$30="Alta",'Mapa final'!$L$30="Moderado"),CONCATENATE("R",'Mapa final'!$A$30),"")</f>
        <v/>
      </c>
      <c r="AA16" s="209"/>
      <c r="AB16" s="220" t="str">
        <f>IF(AND('Mapa final'!$H$24="Alta",'Mapa final'!$L$24="Mayor"),CONCATENATE("R",'Mapa final'!$A$24),"")</f>
        <v/>
      </c>
      <c r="AC16" s="213"/>
      <c r="AD16" s="208" t="str">
        <f>IF(AND('Mapa final'!$H$27="Alta",'Mapa final'!$L$27="Mayor"),CONCATENATE("R",'Mapa final'!$A$27),"")</f>
        <v/>
      </c>
      <c r="AE16" s="213"/>
      <c r="AF16" s="208" t="str">
        <f>IF(AND('Mapa final'!$H$30="Alta",'Mapa final'!$L$30="Mayor"),CONCATENATE("R",'Mapa final'!$A$30),"")</f>
        <v/>
      </c>
      <c r="AG16" s="209"/>
      <c r="AH16" s="212" t="str">
        <f>IF(AND('Mapa final'!$H$24="Alta",'Mapa final'!$L$24="Catastrófico"),CONCATENATE("R",'Mapa final'!$A$24),"")</f>
        <v/>
      </c>
      <c r="AI16" s="213"/>
      <c r="AJ16" s="216" t="str">
        <f>IF(AND('Mapa final'!$H$27="Alta",'Mapa final'!$L$27="Catastrófico"),CONCATENATE("R",'Mapa final'!$A$27),"")</f>
        <v/>
      </c>
      <c r="AK16" s="213"/>
      <c r="AL16" s="216" t="str">
        <f>IF(AND('Mapa final'!$H$30="Alta",'Mapa final'!$L$30="Catastrófico"),CONCATENATE("R",'Mapa final'!$A$30),"")</f>
        <v/>
      </c>
      <c r="AM16" s="209"/>
      <c r="AN16" s="1"/>
      <c r="AO16" s="236"/>
      <c r="AP16" s="176"/>
      <c r="AQ16" s="176"/>
      <c r="AR16" s="176"/>
      <c r="AS16" s="176"/>
      <c r="AT16" s="237"/>
    </row>
    <row r="17" spans="2:46" ht="15" customHeight="1" x14ac:dyDescent="0.25">
      <c r="B17" s="253"/>
      <c r="C17" s="176"/>
      <c r="D17" s="177"/>
      <c r="E17" s="188"/>
      <c r="F17" s="176"/>
      <c r="G17" s="176"/>
      <c r="H17" s="176"/>
      <c r="I17" s="176"/>
      <c r="J17" s="214"/>
      <c r="K17" s="215"/>
      <c r="L17" s="210"/>
      <c r="M17" s="215"/>
      <c r="N17" s="210"/>
      <c r="O17" s="211"/>
      <c r="P17" s="214"/>
      <c r="Q17" s="215"/>
      <c r="R17" s="210"/>
      <c r="S17" s="215"/>
      <c r="T17" s="210"/>
      <c r="U17" s="211"/>
      <c r="V17" s="214"/>
      <c r="W17" s="215"/>
      <c r="X17" s="210"/>
      <c r="Y17" s="215"/>
      <c r="Z17" s="210"/>
      <c r="AA17" s="211"/>
      <c r="AB17" s="214"/>
      <c r="AC17" s="215"/>
      <c r="AD17" s="210"/>
      <c r="AE17" s="215"/>
      <c r="AF17" s="210"/>
      <c r="AG17" s="211"/>
      <c r="AH17" s="214"/>
      <c r="AI17" s="215"/>
      <c r="AJ17" s="210"/>
      <c r="AK17" s="215"/>
      <c r="AL17" s="210"/>
      <c r="AM17" s="211"/>
      <c r="AN17" s="1"/>
      <c r="AO17" s="236"/>
      <c r="AP17" s="176"/>
      <c r="AQ17" s="176"/>
      <c r="AR17" s="176"/>
      <c r="AS17" s="176"/>
      <c r="AT17" s="237"/>
    </row>
    <row r="18" spans="2:46" ht="15" customHeight="1" x14ac:dyDescent="0.25">
      <c r="B18" s="253"/>
      <c r="C18" s="176"/>
      <c r="D18" s="177"/>
      <c r="E18" s="188"/>
      <c r="F18" s="176"/>
      <c r="G18" s="176"/>
      <c r="H18" s="176"/>
      <c r="I18" s="176"/>
      <c r="J18" s="232" t="e">
        <f>IF(AND('Mapa final'!#REF!="Alta",'Mapa final'!#REF!="Leve"),CONCATENATE("R",'Mapa final'!#REF!),"")</f>
        <v>#REF!</v>
      </c>
      <c r="K18" s="213"/>
      <c r="L18" s="231" t="e">
        <f>IF(AND('Mapa final'!#REF!="Alta",'Mapa final'!#REF!="Leve"),CONCATENATE("R",'Mapa final'!#REF!),"")</f>
        <v>#REF!</v>
      </c>
      <c r="M18" s="213"/>
      <c r="N18" s="231" t="e">
        <f>IF(AND('Mapa final'!#REF!="Alta",'Mapa final'!#REF!="Leve"),CONCATENATE("R",'Mapa final'!#REF!),"")</f>
        <v>#REF!</v>
      </c>
      <c r="O18" s="209"/>
      <c r="P18" s="232" t="e">
        <f>IF(AND('Mapa final'!#REF!="Alta",'Mapa final'!#REF!="Menor"),CONCATENATE("R",'Mapa final'!#REF!),"")</f>
        <v>#REF!</v>
      </c>
      <c r="Q18" s="213"/>
      <c r="R18" s="231" t="e">
        <f>IF(AND('Mapa final'!#REF!="Alta",'Mapa final'!#REF!="Menor"),CONCATENATE("R",'Mapa final'!#REF!),"")</f>
        <v>#REF!</v>
      </c>
      <c r="S18" s="213"/>
      <c r="T18" s="231" t="e">
        <f>IF(AND('Mapa final'!#REF!="Alta",'Mapa final'!#REF!="Menor"),CONCATENATE("R",'Mapa final'!#REF!),"")</f>
        <v>#REF!</v>
      </c>
      <c r="U18" s="209"/>
      <c r="V18" s="220" t="e">
        <f>IF(AND('Mapa final'!#REF!="Alta",'Mapa final'!#REF!="Moderado"),CONCATENATE("R",'Mapa final'!#REF!),"")</f>
        <v>#REF!</v>
      </c>
      <c r="W18" s="213"/>
      <c r="X18" s="208" t="e">
        <f>IF(AND('Mapa final'!#REF!="Alta",'Mapa final'!#REF!="Moderado"),CONCATENATE("R",'Mapa final'!#REF!),"")</f>
        <v>#REF!</v>
      </c>
      <c r="Y18" s="213"/>
      <c r="Z18" s="208" t="e">
        <f>IF(AND('Mapa final'!#REF!="Alta",'Mapa final'!#REF!="Moderado"),CONCATENATE("R",'Mapa final'!#REF!),"")</f>
        <v>#REF!</v>
      </c>
      <c r="AA18" s="209"/>
      <c r="AB18" s="220" t="e">
        <f>IF(AND('Mapa final'!#REF!="Alta",'Mapa final'!#REF!="Mayor"),CONCATENATE("R",'Mapa final'!#REF!),"")</f>
        <v>#REF!</v>
      </c>
      <c r="AC18" s="213"/>
      <c r="AD18" s="208" t="e">
        <f>IF(AND('Mapa final'!#REF!="Alta",'Mapa final'!#REF!="Mayor"),CONCATENATE("R",'Mapa final'!#REF!),"")</f>
        <v>#REF!</v>
      </c>
      <c r="AE18" s="213"/>
      <c r="AF18" s="208" t="e">
        <f>IF(AND('Mapa final'!#REF!="Alta",'Mapa final'!#REF!="Mayor"),CONCATENATE("R",'Mapa final'!#REF!),"")</f>
        <v>#REF!</v>
      </c>
      <c r="AG18" s="209"/>
      <c r="AH18" s="212" t="e">
        <f>IF(AND('Mapa final'!#REF!="Alta",'Mapa final'!#REF!="Catastrófico"),CONCATENATE("R",'Mapa final'!#REF!),"")</f>
        <v>#REF!</v>
      </c>
      <c r="AI18" s="213"/>
      <c r="AJ18" s="216" t="e">
        <f>IF(AND('Mapa final'!#REF!="Alta",'Mapa final'!#REF!="Catastrófico"),CONCATENATE("R",'Mapa final'!#REF!),"")</f>
        <v>#REF!</v>
      </c>
      <c r="AK18" s="213"/>
      <c r="AL18" s="216" t="e">
        <f>IF(AND('Mapa final'!#REF!="Alta",'Mapa final'!#REF!="Catastrófico"),CONCATENATE("R",'Mapa final'!#REF!),"")</f>
        <v>#REF!</v>
      </c>
      <c r="AM18" s="209"/>
      <c r="AN18" s="1"/>
      <c r="AO18" s="236"/>
      <c r="AP18" s="176"/>
      <c r="AQ18" s="176"/>
      <c r="AR18" s="176"/>
      <c r="AS18" s="176"/>
      <c r="AT18" s="237"/>
    </row>
    <row r="19" spans="2:46" ht="15" customHeight="1" x14ac:dyDescent="0.25">
      <c r="B19" s="253"/>
      <c r="C19" s="176"/>
      <c r="D19" s="177"/>
      <c r="E19" s="188"/>
      <c r="F19" s="176"/>
      <c r="G19" s="176"/>
      <c r="H19" s="176"/>
      <c r="I19" s="176"/>
      <c r="J19" s="214"/>
      <c r="K19" s="215"/>
      <c r="L19" s="210"/>
      <c r="M19" s="215"/>
      <c r="N19" s="210"/>
      <c r="O19" s="211"/>
      <c r="P19" s="214"/>
      <c r="Q19" s="215"/>
      <c r="R19" s="210"/>
      <c r="S19" s="215"/>
      <c r="T19" s="210"/>
      <c r="U19" s="211"/>
      <c r="V19" s="214"/>
      <c r="W19" s="215"/>
      <c r="X19" s="210"/>
      <c r="Y19" s="215"/>
      <c r="Z19" s="210"/>
      <c r="AA19" s="211"/>
      <c r="AB19" s="214"/>
      <c r="AC19" s="215"/>
      <c r="AD19" s="210"/>
      <c r="AE19" s="215"/>
      <c r="AF19" s="210"/>
      <c r="AG19" s="211"/>
      <c r="AH19" s="214"/>
      <c r="AI19" s="215"/>
      <c r="AJ19" s="210"/>
      <c r="AK19" s="215"/>
      <c r="AL19" s="210"/>
      <c r="AM19" s="211"/>
      <c r="AN19" s="1"/>
      <c r="AO19" s="236"/>
      <c r="AP19" s="176"/>
      <c r="AQ19" s="176"/>
      <c r="AR19" s="176"/>
      <c r="AS19" s="176"/>
      <c r="AT19" s="237"/>
    </row>
    <row r="20" spans="2:46" ht="15" customHeight="1" x14ac:dyDescent="0.25">
      <c r="B20" s="253"/>
      <c r="C20" s="176"/>
      <c r="D20" s="177"/>
      <c r="E20" s="188"/>
      <c r="F20" s="176"/>
      <c r="G20" s="176"/>
      <c r="H20" s="176"/>
      <c r="I20" s="176"/>
      <c r="J20" s="232" t="e">
        <f>IF(AND('Mapa final'!#REF!="Alta",'Mapa final'!#REF!="Leve"),CONCATENATE("R",'Mapa final'!#REF!),"")</f>
        <v>#REF!</v>
      </c>
      <c r="K20" s="213"/>
      <c r="L20" s="231" t="e">
        <f>IF(AND('Mapa final'!#REF!="Alta",'Mapa final'!#REF!="Leve"),CONCATENATE("R",'Mapa final'!#REF!),"")</f>
        <v>#REF!</v>
      </c>
      <c r="M20" s="213"/>
      <c r="N20" s="231" t="str">
        <f>IF(AND('Mapa final'!$H$37="Alta",'Mapa final'!$L$37="Leve"),CONCATENATE("R",'Mapa final'!$A$37),"")</f>
        <v/>
      </c>
      <c r="O20" s="209"/>
      <c r="P20" s="232" t="e">
        <f>IF(AND('Mapa final'!#REF!="Alta",'Mapa final'!#REF!="Menor"),CONCATENATE("R",'Mapa final'!#REF!),"")</f>
        <v>#REF!</v>
      </c>
      <c r="Q20" s="213"/>
      <c r="R20" s="231" t="e">
        <f>IF(AND('Mapa final'!#REF!="Alta",'Mapa final'!#REF!="Menor"),CONCATENATE("R",'Mapa final'!#REF!),"")</f>
        <v>#REF!</v>
      </c>
      <c r="S20" s="213"/>
      <c r="T20" s="231" t="str">
        <f>IF(AND('Mapa final'!$H$37="Alta",'Mapa final'!$L$37="Menor"),CONCATENATE("R",'Mapa final'!$A$37),"")</f>
        <v/>
      </c>
      <c r="U20" s="209"/>
      <c r="V20" s="220" t="e">
        <f>IF(AND('Mapa final'!#REF!="Alta",'Mapa final'!#REF!="Moderado"),CONCATENATE("R",'Mapa final'!#REF!),"")</f>
        <v>#REF!</v>
      </c>
      <c r="W20" s="213"/>
      <c r="X20" s="208" t="e">
        <f>IF(AND('Mapa final'!#REF!="Alta",'Mapa final'!#REF!="Moderado"),CONCATENATE("R",'Mapa final'!#REF!),"")</f>
        <v>#REF!</v>
      </c>
      <c r="Y20" s="213"/>
      <c r="Z20" s="208" t="str">
        <f>IF(AND('Mapa final'!$H$37="Alta",'Mapa final'!$L$37="Moderado"),CONCATENATE("R",'Mapa final'!$A$37),"")</f>
        <v/>
      </c>
      <c r="AA20" s="209"/>
      <c r="AB20" s="220" t="e">
        <f>IF(AND('Mapa final'!#REF!="Alta",'Mapa final'!#REF!="Mayor"),CONCATENATE("R",'Mapa final'!#REF!),"")</f>
        <v>#REF!</v>
      </c>
      <c r="AC20" s="213"/>
      <c r="AD20" s="208" t="e">
        <f>IF(AND('Mapa final'!#REF!="Alta",'Mapa final'!#REF!="Mayor"),CONCATENATE("R",'Mapa final'!#REF!),"")</f>
        <v>#REF!</v>
      </c>
      <c r="AE20" s="213"/>
      <c r="AF20" s="208" t="str">
        <f>IF(AND('Mapa final'!$H$37="Alta",'Mapa final'!$L$37="Mayor"),CONCATENATE("R",'Mapa final'!$A$37),"")</f>
        <v/>
      </c>
      <c r="AG20" s="209"/>
      <c r="AH20" s="212" t="e">
        <f>IF(AND('Mapa final'!#REF!="Alta",'Mapa final'!#REF!="Catastrófico"),CONCATENATE("R",'Mapa final'!#REF!),"")</f>
        <v>#REF!</v>
      </c>
      <c r="AI20" s="213"/>
      <c r="AJ20" s="216" t="e">
        <f>IF(AND('Mapa final'!#REF!="Alta",'Mapa final'!#REF!="Catastrófico"),CONCATENATE("R",'Mapa final'!#REF!),"")</f>
        <v>#REF!</v>
      </c>
      <c r="AK20" s="213"/>
      <c r="AL20" s="216" t="str">
        <f>IF(AND('Mapa final'!$H$37="Alta",'Mapa final'!$L$37="Catastrófico"),CONCATENATE("R",'Mapa final'!$A$37),"")</f>
        <v/>
      </c>
      <c r="AM20" s="209"/>
      <c r="AN20" s="1"/>
      <c r="AO20" s="236"/>
      <c r="AP20" s="176"/>
      <c r="AQ20" s="176"/>
      <c r="AR20" s="176"/>
      <c r="AS20" s="176"/>
      <c r="AT20" s="237"/>
    </row>
    <row r="21" spans="2:46" ht="15.75" customHeight="1" x14ac:dyDescent="0.25">
      <c r="B21" s="253"/>
      <c r="C21" s="176"/>
      <c r="D21" s="177"/>
      <c r="E21" s="222"/>
      <c r="F21" s="246"/>
      <c r="G21" s="246"/>
      <c r="H21" s="246"/>
      <c r="I21" s="246"/>
      <c r="J21" s="222"/>
      <c r="K21" s="223"/>
      <c r="L21" s="224"/>
      <c r="M21" s="223"/>
      <c r="N21" s="224"/>
      <c r="O21" s="225"/>
      <c r="P21" s="222"/>
      <c r="Q21" s="223"/>
      <c r="R21" s="224"/>
      <c r="S21" s="223"/>
      <c r="T21" s="224"/>
      <c r="U21" s="225"/>
      <c r="V21" s="222"/>
      <c r="W21" s="223"/>
      <c r="X21" s="224"/>
      <c r="Y21" s="223"/>
      <c r="Z21" s="224"/>
      <c r="AA21" s="225"/>
      <c r="AB21" s="222"/>
      <c r="AC21" s="223"/>
      <c r="AD21" s="224"/>
      <c r="AE21" s="223"/>
      <c r="AF21" s="224"/>
      <c r="AG21" s="225"/>
      <c r="AH21" s="222"/>
      <c r="AI21" s="223"/>
      <c r="AJ21" s="224"/>
      <c r="AK21" s="223"/>
      <c r="AL21" s="224"/>
      <c r="AM21" s="225"/>
      <c r="AN21" s="1"/>
      <c r="AO21" s="238"/>
      <c r="AP21" s="239"/>
      <c r="AQ21" s="239"/>
      <c r="AR21" s="239"/>
      <c r="AS21" s="239"/>
      <c r="AT21" s="240"/>
    </row>
    <row r="22" spans="2:46" ht="15.75" customHeight="1" x14ac:dyDescent="0.25">
      <c r="B22" s="253"/>
      <c r="C22" s="176"/>
      <c r="D22" s="177"/>
      <c r="E22" s="244" t="s">
        <v>85</v>
      </c>
      <c r="F22" s="245"/>
      <c r="G22" s="245"/>
      <c r="H22" s="245"/>
      <c r="I22" s="227"/>
      <c r="J22" s="228" t="str">
        <f>IF(AND('Mapa final'!$H$15="Media",'Mapa final'!$L$15="Leve"),CONCATENATE("R",'Mapa final'!$A$15),"")</f>
        <v/>
      </c>
      <c r="K22" s="218"/>
      <c r="L22" s="226" t="str">
        <f>IF(AND('Mapa final'!$H$18="Media",'Mapa final'!$L$18="Leve"),CONCATENATE("R",'Mapa final'!$A$18),"")</f>
        <v/>
      </c>
      <c r="M22" s="218"/>
      <c r="N22" s="226" t="str">
        <f>IF(AND('Mapa final'!$H$21="Media",'Mapa final'!$L$21="Leve"),CONCATENATE("R",'Mapa final'!$A$21),"")</f>
        <v/>
      </c>
      <c r="O22" s="227"/>
      <c r="P22" s="228" t="str">
        <f>IF(AND('Mapa final'!$H$15="Media",'Mapa final'!$L$15="Menor"),CONCATENATE("R",'Mapa final'!$A$15),"")</f>
        <v/>
      </c>
      <c r="Q22" s="218"/>
      <c r="R22" s="226" t="str">
        <f>IF(AND('Mapa final'!$H$18="Media",'Mapa final'!$L$18="Menor"),CONCATENATE("R",'Mapa final'!$A$18),"")</f>
        <v/>
      </c>
      <c r="S22" s="218"/>
      <c r="T22" s="226" t="str">
        <f>IF(AND('Mapa final'!$H$21="Media",'Mapa final'!$L$21="Menor"),CONCATENATE("R",'Mapa final'!$A$21),"")</f>
        <v/>
      </c>
      <c r="U22" s="227"/>
      <c r="V22" s="228" t="str">
        <f>IF(AND('Mapa final'!$H$15="Media",'Mapa final'!$L$15="Moderado"),CONCATENATE("R",'Mapa final'!$A$15),"")</f>
        <v/>
      </c>
      <c r="W22" s="218"/>
      <c r="X22" s="226" t="str">
        <f>IF(AND('Mapa final'!$H$18="Media",'Mapa final'!$L$18="Moderado"),CONCATENATE("R",'Mapa final'!$A$18),"")</f>
        <v/>
      </c>
      <c r="Y22" s="218"/>
      <c r="Z22" s="226" t="str">
        <f>IF(AND('Mapa final'!$H$21="Media",'Mapa final'!$L$21="Moderado"),CONCATENATE("R",'Mapa final'!$A$21),"")</f>
        <v/>
      </c>
      <c r="AA22" s="227"/>
      <c r="AB22" s="217" t="str">
        <f>IF(AND('Mapa final'!$H$15="Media",'Mapa final'!$L$15="Mayor"),CONCATENATE("R",'Mapa final'!$A$15),"")</f>
        <v/>
      </c>
      <c r="AC22" s="218"/>
      <c r="AD22" s="219" t="str">
        <f>IF(AND('Mapa final'!$H$18="Media",'Mapa final'!$L$18="Mayor"),CONCATENATE("R",'Mapa final'!$A$18),"")</f>
        <v/>
      </c>
      <c r="AE22" s="218"/>
      <c r="AF22" s="219" t="str">
        <f>IF(AND('Mapa final'!$H$21="Media",'Mapa final'!$L$21="Mayor"),CONCATENATE("R",'Mapa final'!$A$21),"")</f>
        <v/>
      </c>
      <c r="AG22" s="227"/>
      <c r="AH22" s="229" t="str">
        <f>IF(AND('Mapa final'!$H$15="Media",'Mapa final'!$L$15="Catastrófico"),CONCATENATE("R",'Mapa final'!$A$15),"")</f>
        <v/>
      </c>
      <c r="AI22" s="218"/>
      <c r="AJ22" s="221" t="str">
        <f>IF(AND('Mapa final'!$H$18="Media",'Mapa final'!$L$18="Catastrófico"),CONCATENATE("R",'Mapa final'!$A$18),"")</f>
        <v/>
      </c>
      <c r="AK22" s="218"/>
      <c r="AL22" s="221" t="str">
        <f>IF(AND('Mapa final'!$H$21="Media",'Mapa final'!$L$21="Catastrófico"),CONCATENATE("R",'Mapa final'!$A$21),"")</f>
        <v/>
      </c>
      <c r="AM22" s="227"/>
      <c r="AN22" s="1"/>
      <c r="AO22" s="242" t="s">
        <v>86</v>
      </c>
      <c r="AP22" s="234"/>
      <c r="AQ22" s="234"/>
      <c r="AR22" s="234"/>
      <c r="AS22" s="234"/>
      <c r="AT22" s="235"/>
    </row>
    <row r="23" spans="2:46" ht="15.75" customHeight="1" x14ac:dyDescent="0.25">
      <c r="B23" s="253"/>
      <c r="C23" s="176"/>
      <c r="D23" s="177"/>
      <c r="E23" s="188"/>
      <c r="F23" s="176"/>
      <c r="G23" s="176"/>
      <c r="H23" s="176"/>
      <c r="I23" s="177"/>
      <c r="J23" s="214"/>
      <c r="K23" s="215"/>
      <c r="L23" s="210"/>
      <c r="M23" s="215"/>
      <c r="N23" s="210"/>
      <c r="O23" s="211"/>
      <c r="P23" s="214"/>
      <c r="Q23" s="215"/>
      <c r="R23" s="210"/>
      <c r="S23" s="215"/>
      <c r="T23" s="210"/>
      <c r="U23" s="211"/>
      <c r="V23" s="214"/>
      <c r="W23" s="215"/>
      <c r="X23" s="210"/>
      <c r="Y23" s="215"/>
      <c r="Z23" s="210"/>
      <c r="AA23" s="211"/>
      <c r="AB23" s="214"/>
      <c r="AC23" s="215"/>
      <c r="AD23" s="210"/>
      <c r="AE23" s="215"/>
      <c r="AF23" s="210"/>
      <c r="AG23" s="211"/>
      <c r="AH23" s="214"/>
      <c r="AI23" s="215"/>
      <c r="AJ23" s="210"/>
      <c r="AK23" s="215"/>
      <c r="AL23" s="210"/>
      <c r="AM23" s="211"/>
      <c r="AN23" s="1"/>
      <c r="AO23" s="236"/>
      <c r="AP23" s="176"/>
      <c r="AQ23" s="176"/>
      <c r="AR23" s="176"/>
      <c r="AS23" s="176"/>
      <c r="AT23" s="237"/>
    </row>
    <row r="24" spans="2:46" ht="15.75" customHeight="1" x14ac:dyDescent="0.25">
      <c r="B24" s="253"/>
      <c r="C24" s="176"/>
      <c r="D24" s="177"/>
      <c r="E24" s="188"/>
      <c r="F24" s="176"/>
      <c r="G24" s="176"/>
      <c r="H24" s="176"/>
      <c r="I24" s="177"/>
      <c r="J24" s="232" t="str">
        <f>IF(AND('Mapa final'!$H$24="Media",'Mapa final'!$L$24="Leve"),CONCATENATE("R",'Mapa final'!$A$24),"")</f>
        <v/>
      </c>
      <c r="K24" s="213"/>
      <c r="L24" s="231" t="str">
        <f>IF(AND('Mapa final'!$H$27="Media",'Mapa final'!$L$27="Leve"),CONCATENATE("R",'Mapa final'!$A$27),"")</f>
        <v/>
      </c>
      <c r="M24" s="213"/>
      <c r="N24" s="231" t="str">
        <f>IF(AND('Mapa final'!$H$30="Media",'Mapa final'!$L$30="Leve"),CONCATENATE("R",'Mapa final'!$A$30),"")</f>
        <v/>
      </c>
      <c r="O24" s="209"/>
      <c r="P24" s="232" t="str">
        <f>IF(AND('Mapa final'!$H$24="Media",'Mapa final'!$L$24="Menor"),CONCATENATE("R",'Mapa final'!$A$24),"")</f>
        <v/>
      </c>
      <c r="Q24" s="213"/>
      <c r="R24" s="231" t="str">
        <f>IF(AND('Mapa final'!$H$27="Media",'Mapa final'!$L$27="Menor"),CONCATENATE("R",'Mapa final'!$A$27),"")</f>
        <v/>
      </c>
      <c r="S24" s="213"/>
      <c r="T24" s="231" t="str">
        <f>IF(AND('Mapa final'!$H$30="Media",'Mapa final'!$L$30="Menor"),CONCATENATE("R",'Mapa final'!$A$30),"")</f>
        <v/>
      </c>
      <c r="U24" s="209"/>
      <c r="V24" s="232" t="str">
        <f>IF(AND('Mapa final'!$H$24="Media",'Mapa final'!$L$24="Moderado"),CONCATENATE("R",'Mapa final'!$A$24),"")</f>
        <v/>
      </c>
      <c r="W24" s="213"/>
      <c r="X24" s="231" t="str">
        <f>IF(AND('Mapa final'!$H$27="Media",'Mapa final'!$L$27="Moderado"),CONCATENATE("R",'Mapa final'!$A$27),"")</f>
        <v/>
      </c>
      <c r="Y24" s="213"/>
      <c r="Z24" s="231" t="str">
        <f>IF(AND('Mapa final'!$H$30="Media",'Mapa final'!$L$30="Moderado"),CONCATENATE("R",'Mapa final'!$A$30),"")</f>
        <v/>
      </c>
      <c r="AA24" s="209"/>
      <c r="AB24" s="220" t="str">
        <f>IF(AND('Mapa final'!$H$24="Media",'Mapa final'!$L$24="Mayor"),CONCATENATE("R",'Mapa final'!$A$24),"")</f>
        <v/>
      </c>
      <c r="AC24" s="213"/>
      <c r="AD24" s="208" t="str">
        <f>IF(AND('Mapa final'!$H$27="Media",'Mapa final'!$L$27="Mayor"),CONCATENATE("R",'Mapa final'!$A$27),"")</f>
        <v/>
      </c>
      <c r="AE24" s="213"/>
      <c r="AF24" s="208" t="str">
        <f>IF(AND('Mapa final'!$H$30="Media",'Mapa final'!$L$30="Mayor"),CONCATENATE("R",'Mapa final'!$A$30),"")</f>
        <v/>
      </c>
      <c r="AG24" s="209"/>
      <c r="AH24" s="212" t="str">
        <f>IF(AND('Mapa final'!$H$24="Media",'Mapa final'!$L$24="Catastrófico"),CONCATENATE("R",'Mapa final'!$A$24),"")</f>
        <v/>
      </c>
      <c r="AI24" s="213"/>
      <c r="AJ24" s="216" t="str">
        <f>IF(AND('Mapa final'!$H$27="Media",'Mapa final'!$L$27="Catastrófico"),CONCATENATE("R",'Mapa final'!$A$27),"")</f>
        <v/>
      </c>
      <c r="AK24" s="213"/>
      <c r="AL24" s="216" t="str">
        <f>IF(AND('Mapa final'!$H$30="Media",'Mapa final'!$L$30="Catastrófico"),CONCATENATE("R",'Mapa final'!$A$30),"")</f>
        <v/>
      </c>
      <c r="AM24" s="209"/>
      <c r="AN24" s="1"/>
      <c r="AO24" s="236"/>
      <c r="AP24" s="176"/>
      <c r="AQ24" s="176"/>
      <c r="AR24" s="176"/>
      <c r="AS24" s="176"/>
      <c r="AT24" s="237"/>
    </row>
    <row r="25" spans="2:46" ht="15.75" customHeight="1" x14ac:dyDescent="0.25">
      <c r="B25" s="253"/>
      <c r="C25" s="176"/>
      <c r="D25" s="177"/>
      <c r="E25" s="188"/>
      <c r="F25" s="176"/>
      <c r="G25" s="176"/>
      <c r="H25" s="176"/>
      <c r="I25" s="177"/>
      <c r="J25" s="214"/>
      <c r="K25" s="215"/>
      <c r="L25" s="210"/>
      <c r="M25" s="215"/>
      <c r="N25" s="210"/>
      <c r="O25" s="211"/>
      <c r="P25" s="214"/>
      <c r="Q25" s="215"/>
      <c r="R25" s="210"/>
      <c r="S25" s="215"/>
      <c r="T25" s="210"/>
      <c r="U25" s="211"/>
      <c r="V25" s="214"/>
      <c r="W25" s="215"/>
      <c r="X25" s="210"/>
      <c r="Y25" s="215"/>
      <c r="Z25" s="210"/>
      <c r="AA25" s="211"/>
      <c r="AB25" s="214"/>
      <c r="AC25" s="215"/>
      <c r="AD25" s="210"/>
      <c r="AE25" s="215"/>
      <c r="AF25" s="210"/>
      <c r="AG25" s="211"/>
      <c r="AH25" s="214"/>
      <c r="AI25" s="215"/>
      <c r="AJ25" s="210"/>
      <c r="AK25" s="215"/>
      <c r="AL25" s="210"/>
      <c r="AM25" s="211"/>
      <c r="AN25" s="1"/>
      <c r="AO25" s="236"/>
      <c r="AP25" s="176"/>
      <c r="AQ25" s="176"/>
      <c r="AR25" s="176"/>
      <c r="AS25" s="176"/>
      <c r="AT25" s="237"/>
    </row>
    <row r="26" spans="2:46" ht="15.75" customHeight="1" x14ac:dyDescent="0.25">
      <c r="B26" s="253"/>
      <c r="C26" s="176"/>
      <c r="D26" s="177"/>
      <c r="E26" s="188"/>
      <c r="F26" s="176"/>
      <c r="G26" s="176"/>
      <c r="H26" s="176"/>
      <c r="I26" s="177"/>
      <c r="J26" s="232" t="e">
        <f>IF(AND('Mapa final'!#REF!="Media",'Mapa final'!#REF!="Leve"),CONCATENATE("R",'Mapa final'!#REF!),"")</f>
        <v>#REF!</v>
      </c>
      <c r="K26" s="213"/>
      <c r="L26" s="231" t="e">
        <f>IF(AND('Mapa final'!#REF!="Media",'Mapa final'!#REF!="Leve"),CONCATENATE("R",'Mapa final'!#REF!),"")</f>
        <v>#REF!</v>
      </c>
      <c r="M26" s="213"/>
      <c r="N26" s="231" t="e">
        <f>IF(AND('Mapa final'!#REF!="Media",'Mapa final'!#REF!="Leve"),CONCATENATE("R",'Mapa final'!#REF!),"")</f>
        <v>#REF!</v>
      </c>
      <c r="O26" s="209"/>
      <c r="P26" s="232" t="e">
        <f>IF(AND('Mapa final'!#REF!="Media",'Mapa final'!#REF!="Menor"),CONCATENATE("R",'Mapa final'!#REF!),"")</f>
        <v>#REF!</v>
      </c>
      <c r="Q26" s="213"/>
      <c r="R26" s="231" t="e">
        <f>IF(AND('Mapa final'!#REF!="Media",'Mapa final'!#REF!="Menor"),CONCATENATE("R",'Mapa final'!#REF!),"")</f>
        <v>#REF!</v>
      </c>
      <c r="S26" s="213"/>
      <c r="T26" s="231" t="e">
        <f>IF(AND('Mapa final'!#REF!="Media",'Mapa final'!#REF!="Menor"),CONCATENATE("R",'Mapa final'!#REF!),"")</f>
        <v>#REF!</v>
      </c>
      <c r="U26" s="209"/>
      <c r="V26" s="232" t="e">
        <f>IF(AND('Mapa final'!#REF!="Media",'Mapa final'!#REF!="Moderado"),CONCATENATE("R",'Mapa final'!#REF!),"")</f>
        <v>#REF!</v>
      </c>
      <c r="W26" s="213"/>
      <c r="X26" s="231" t="e">
        <f>IF(AND('Mapa final'!#REF!="Media",'Mapa final'!#REF!="Moderado"),CONCATENATE("R",'Mapa final'!#REF!),"")</f>
        <v>#REF!</v>
      </c>
      <c r="Y26" s="213"/>
      <c r="Z26" s="231" t="e">
        <f>IF(AND('Mapa final'!#REF!="Media",'Mapa final'!#REF!="Moderado"),CONCATENATE("R",'Mapa final'!#REF!),"")</f>
        <v>#REF!</v>
      </c>
      <c r="AA26" s="209"/>
      <c r="AB26" s="220" t="e">
        <f>IF(AND('Mapa final'!#REF!="Media",'Mapa final'!#REF!="Mayor"),CONCATENATE("R",'Mapa final'!#REF!),"")</f>
        <v>#REF!</v>
      </c>
      <c r="AC26" s="213"/>
      <c r="AD26" s="208" t="e">
        <f>IF(AND('Mapa final'!#REF!="Media",'Mapa final'!#REF!="Mayor"),CONCATENATE("R",'Mapa final'!#REF!),"")</f>
        <v>#REF!</v>
      </c>
      <c r="AE26" s="213"/>
      <c r="AF26" s="208" t="e">
        <f>IF(AND('Mapa final'!#REF!="Media",'Mapa final'!#REF!="Mayor"),CONCATENATE("R",'Mapa final'!#REF!),"")</f>
        <v>#REF!</v>
      </c>
      <c r="AG26" s="209"/>
      <c r="AH26" s="212" t="e">
        <f>IF(AND('Mapa final'!#REF!="Media",'Mapa final'!#REF!="Catastrófico"),CONCATENATE("R",'Mapa final'!#REF!),"")</f>
        <v>#REF!</v>
      </c>
      <c r="AI26" s="213"/>
      <c r="AJ26" s="216" t="e">
        <f>IF(AND('Mapa final'!#REF!="Media",'Mapa final'!#REF!="Catastrófico"),CONCATENATE("R",'Mapa final'!#REF!),"")</f>
        <v>#REF!</v>
      </c>
      <c r="AK26" s="213"/>
      <c r="AL26" s="216" t="e">
        <f>IF(AND('Mapa final'!#REF!="Media",'Mapa final'!#REF!="Catastrófico"),CONCATENATE("R",'Mapa final'!#REF!),"")</f>
        <v>#REF!</v>
      </c>
      <c r="AM26" s="209"/>
      <c r="AN26" s="1"/>
      <c r="AO26" s="236"/>
      <c r="AP26" s="176"/>
      <c r="AQ26" s="176"/>
      <c r="AR26" s="176"/>
      <c r="AS26" s="176"/>
      <c r="AT26" s="237"/>
    </row>
    <row r="27" spans="2:46" ht="15.75" customHeight="1" x14ac:dyDescent="0.25">
      <c r="B27" s="253"/>
      <c r="C27" s="176"/>
      <c r="D27" s="177"/>
      <c r="E27" s="188"/>
      <c r="F27" s="176"/>
      <c r="G27" s="176"/>
      <c r="H27" s="176"/>
      <c r="I27" s="177"/>
      <c r="J27" s="214"/>
      <c r="K27" s="215"/>
      <c r="L27" s="210"/>
      <c r="M27" s="215"/>
      <c r="N27" s="210"/>
      <c r="O27" s="211"/>
      <c r="P27" s="214"/>
      <c r="Q27" s="215"/>
      <c r="R27" s="210"/>
      <c r="S27" s="215"/>
      <c r="T27" s="210"/>
      <c r="U27" s="211"/>
      <c r="V27" s="214"/>
      <c r="W27" s="215"/>
      <c r="X27" s="210"/>
      <c r="Y27" s="215"/>
      <c r="Z27" s="210"/>
      <c r="AA27" s="211"/>
      <c r="AB27" s="214"/>
      <c r="AC27" s="215"/>
      <c r="AD27" s="210"/>
      <c r="AE27" s="215"/>
      <c r="AF27" s="210"/>
      <c r="AG27" s="211"/>
      <c r="AH27" s="214"/>
      <c r="AI27" s="215"/>
      <c r="AJ27" s="210"/>
      <c r="AK27" s="215"/>
      <c r="AL27" s="210"/>
      <c r="AM27" s="211"/>
      <c r="AN27" s="1"/>
      <c r="AO27" s="236"/>
      <c r="AP27" s="176"/>
      <c r="AQ27" s="176"/>
      <c r="AR27" s="176"/>
      <c r="AS27" s="176"/>
      <c r="AT27" s="237"/>
    </row>
    <row r="28" spans="2:46" ht="15.75" customHeight="1" x14ac:dyDescent="0.25">
      <c r="B28" s="253"/>
      <c r="C28" s="176"/>
      <c r="D28" s="177"/>
      <c r="E28" s="188"/>
      <c r="F28" s="176"/>
      <c r="G28" s="176"/>
      <c r="H28" s="176"/>
      <c r="I28" s="177"/>
      <c r="J28" s="232" t="e">
        <f>IF(AND('Mapa final'!#REF!="Media",'Mapa final'!#REF!="Leve"),CONCATENATE("R",'Mapa final'!#REF!),"")</f>
        <v>#REF!</v>
      </c>
      <c r="K28" s="213"/>
      <c r="L28" s="231" t="e">
        <f>IF(AND('Mapa final'!#REF!="Media",'Mapa final'!#REF!="Leve"),CONCATENATE("R",'Mapa final'!#REF!),"")</f>
        <v>#REF!</v>
      </c>
      <c r="M28" s="213"/>
      <c r="N28" s="231" t="str">
        <f>IF(AND('Mapa final'!$H$37="Media",'Mapa final'!$L$37="Leve"),CONCATENATE("R",'Mapa final'!$A$37),"")</f>
        <v/>
      </c>
      <c r="O28" s="209"/>
      <c r="P28" s="232" t="e">
        <f>IF(AND('Mapa final'!#REF!="Media",'Mapa final'!#REF!="Menor"),CONCATENATE("R",'Mapa final'!#REF!),"")</f>
        <v>#REF!</v>
      </c>
      <c r="Q28" s="213"/>
      <c r="R28" s="231" t="e">
        <f>IF(AND('Mapa final'!#REF!="Media",'Mapa final'!#REF!="Menor"),CONCATENATE("R",'Mapa final'!#REF!),"")</f>
        <v>#REF!</v>
      </c>
      <c r="S28" s="213"/>
      <c r="T28" s="231" t="str">
        <f>IF(AND('Mapa final'!$H$37="Media",'Mapa final'!$L$37="Menor"),CONCATENATE("R",'Mapa final'!$A$37),"")</f>
        <v/>
      </c>
      <c r="U28" s="209"/>
      <c r="V28" s="232" t="e">
        <f>IF(AND('Mapa final'!#REF!="Media",'Mapa final'!#REF!="Moderado"),CONCATENATE("R",'Mapa final'!#REF!),"")</f>
        <v>#REF!</v>
      </c>
      <c r="W28" s="213"/>
      <c r="X28" s="231" t="e">
        <f>IF(AND('Mapa final'!#REF!="Media",'Mapa final'!#REF!="Moderado"),CONCATENATE("R",'Mapa final'!#REF!),"")</f>
        <v>#REF!</v>
      </c>
      <c r="Y28" s="213"/>
      <c r="Z28" s="231" t="str">
        <f>IF(AND('Mapa final'!$H$37="Media",'Mapa final'!$L$37="Moderado"),CONCATENATE("R",'Mapa final'!$A$37),"")</f>
        <v/>
      </c>
      <c r="AA28" s="209"/>
      <c r="AB28" s="220" t="e">
        <f>IF(AND('Mapa final'!#REF!="Media",'Mapa final'!#REF!="Mayor"),CONCATENATE("R",'Mapa final'!#REF!),"")</f>
        <v>#REF!</v>
      </c>
      <c r="AC28" s="213"/>
      <c r="AD28" s="208" t="e">
        <f>IF(AND('Mapa final'!#REF!="Media",'Mapa final'!#REF!="Mayor"),CONCATENATE("R",'Mapa final'!#REF!),"")</f>
        <v>#REF!</v>
      </c>
      <c r="AE28" s="213"/>
      <c r="AF28" s="208" t="str">
        <f>IF(AND('Mapa final'!$H$37="Media",'Mapa final'!$L$37="Mayor"),CONCATENATE("R",'Mapa final'!$A$37),"")</f>
        <v/>
      </c>
      <c r="AG28" s="209"/>
      <c r="AH28" s="212" t="e">
        <f>IF(AND('Mapa final'!#REF!="Media",'Mapa final'!#REF!="Catastrófico"),CONCATENATE("R",'Mapa final'!#REF!),"")</f>
        <v>#REF!</v>
      </c>
      <c r="AI28" s="213"/>
      <c r="AJ28" s="216" t="e">
        <f>IF(AND('Mapa final'!#REF!="Media",'Mapa final'!#REF!="Catastrófico"),CONCATENATE("R",'Mapa final'!#REF!),"")</f>
        <v>#REF!</v>
      </c>
      <c r="AK28" s="213"/>
      <c r="AL28" s="216" t="str">
        <f>IF(AND('Mapa final'!$H$37="Media",'Mapa final'!$L$37="Catastrófico"),CONCATENATE("R",'Mapa final'!$A$37),"")</f>
        <v/>
      </c>
      <c r="AM28" s="209"/>
      <c r="AN28" s="1"/>
      <c r="AO28" s="236"/>
      <c r="AP28" s="176"/>
      <c r="AQ28" s="176"/>
      <c r="AR28" s="176"/>
      <c r="AS28" s="176"/>
      <c r="AT28" s="237"/>
    </row>
    <row r="29" spans="2:46" ht="15.75" customHeight="1" x14ac:dyDescent="0.25">
      <c r="B29" s="253"/>
      <c r="C29" s="176"/>
      <c r="D29" s="177"/>
      <c r="E29" s="222"/>
      <c r="F29" s="246"/>
      <c r="G29" s="246"/>
      <c r="H29" s="246"/>
      <c r="I29" s="225"/>
      <c r="J29" s="214"/>
      <c r="K29" s="215"/>
      <c r="L29" s="210"/>
      <c r="M29" s="215"/>
      <c r="N29" s="210"/>
      <c r="O29" s="211"/>
      <c r="P29" s="222"/>
      <c r="Q29" s="223"/>
      <c r="R29" s="224"/>
      <c r="S29" s="223"/>
      <c r="T29" s="224"/>
      <c r="U29" s="225"/>
      <c r="V29" s="222"/>
      <c r="W29" s="223"/>
      <c r="X29" s="224"/>
      <c r="Y29" s="223"/>
      <c r="Z29" s="224"/>
      <c r="AA29" s="225"/>
      <c r="AB29" s="222"/>
      <c r="AC29" s="223"/>
      <c r="AD29" s="224"/>
      <c r="AE29" s="223"/>
      <c r="AF29" s="224"/>
      <c r="AG29" s="225"/>
      <c r="AH29" s="222"/>
      <c r="AI29" s="223"/>
      <c r="AJ29" s="224"/>
      <c r="AK29" s="223"/>
      <c r="AL29" s="224"/>
      <c r="AM29" s="225"/>
      <c r="AN29" s="1"/>
      <c r="AO29" s="238"/>
      <c r="AP29" s="239"/>
      <c r="AQ29" s="239"/>
      <c r="AR29" s="239"/>
      <c r="AS29" s="239"/>
      <c r="AT29" s="240"/>
    </row>
    <row r="30" spans="2:46" ht="15.75" customHeight="1" x14ac:dyDescent="0.25">
      <c r="B30" s="253"/>
      <c r="C30" s="176"/>
      <c r="D30" s="177"/>
      <c r="E30" s="244" t="s">
        <v>87</v>
      </c>
      <c r="F30" s="245"/>
      <c r="G30" s="245"/>
      <c r="H30" s="245"/>
      <c r="I30" s="245"/>
      <c r="J30" s="247" t="str">
        <f>IF(AND('Mapa final'!$H$15="Baja",'Mapa final'!$L$15="Leve"),CONCATENATE("R",'Mapa final'!$A$15),"")</f>
        <v/>
      </c>
      <c r="K30" s="218"/>
      <c r="L30" s="249" t="str">
        <f>IF(AND('Mapa final'!$H$18="Baja",'Mapa final'!$L$18="Leve"),CONCATENATE("R",'Mapa final'!$A$18),"")</f>
        <v/>
      </c>
      <c r="M30" s="218"/>
      <c r="N30" s="249" t="str">
        <f>IF(AND('Mapa final'!$H$21="Baja",'Mapa final'!$L$21="Leve"),CONCATENATE("R",'Mapa final'!$A$21),"")</f>
        <v/>
      </c>
      <c r="O30" s="227"/>
      <c r="P30" s="226" t="str">
        <f>IF(AND('Mapa final'!$H$15="Baja",'Mapa final'!$L$15="Menor"),CONCATENATE("R",'Mapa final'!$A$15),"")</f>
        <v/>
      </c>
      <c r="Q30" s="218"/>
      <c r="R30" s="226" t="str">
        <f>IF(AND('Mapa final'!$H$18="Baja",'Mapa final'!$L$18="Menor"),CONCATENATE("R",'Mapa final'!$A$18),"")</f>
        <v/>
      </c>
      <c r="S30" s="218"/>
      <c r="T30" s="226" t="str">
        <f>IF(AND('Mapa final'!$H$21="Baja",'Mapa final'!$L$21="Menor"),CONCATENATE("R",'Mapa final'!$A$21),"")</f>
        <v/>
      </c>
      <c r="U30" s="227"/>
      <c r="V30" s="228" t="str">
        <f>IF(AND('Mapa final'!$H$15="Baja",'Mapa final'!$L$15="Moderado"),CONCATENATE("R",'Mapa final'!$A$15),"")</f>
        <v/>
      </c>
      <c r="W30" s="218"/>
      <c r="X30" s="226" t="str">
        <f>IF(AND('Mapa final'!$H$18="Baja",'Mapa final'!$L$18="Moderado"),CONCATENATE("R",'Mapa final'!$A$18),"")</f>
        <v/>
      </c>
      <c r="Y30" s="218"/>
      <c r="Z30" s="226" t="str">
        <f>IF(AND('Mapa final'!$H$21="Baja",'Mapa final'!$L$21="Moderado"),CONCATENATE("R",'Mapa final'!$A$21),"")</f>
        <v/>
      </c>
      <c r="AA30" s="227"/>
      <c r="AB30" s="217" t="str">
        <f>IF(AND('Mapa final'!$H$15="Baja",'Mapa final'!$L$15="Mayor"),CONCATENATE("R",'Mapa final'!$A$15),"")</f>
        <v/>
      </c>
      <c r="AC30" s="218"/>
      <c r="AD30" s="219" t="str">
        <f>IF(AND('Mapa final'!$H$18="Baja",'Mapa final'!$L$18="Mayor"),CONCATENATE("R",'Mapa final'!$A$18),"")</f>
        <v/>
      </c>
      <c r="AE30" s="218"/>
      <c r="AF30" s="219" t="str">
        <f>IF(AND('Mapa final'!$H$21="Baja",'Mapa final'!$L$21="Mayor"),CONCATENATE("R",'Mapa final'!$A$21),"")</f>
        <v/>
      </c>
      <c r="AG30" s="227"/>
      <c r="AH30" s="229" t="str">
        <f>IF(AND('Mapa final'!$H$15="Baja",'Mapa final'!$L$15="Catastrófico"),CONCATENATE("R",'Mapa final'!$A$15),"")</f>
        <v/>
      </c>
      <c r="AI30" s="218"/>
      <c r="AJ30" s="221" t="str">
        <f>IF(AND('Mapa final'!$H$18="Baja",'Mapa final'!$L$18="Catastrófico"),CONCATENATE("R",'Mapa final'!$A$18),"")</f>
        <v/>
      </c>
      <c r="AK30" s="218"/>
      <c r="AL30" s="221" t="str">
        <f>IF(AND('Mapa final'!$H$21="Baja",'Mapa final'!$L$21="Catastrófico"),CONCATENATE("R",'Mapa final'!$A$21),"")</f>
        <v/>
      </c>
      <c r="AM30" s="227"/>
      <c r="AN30" s="1"/>
      <c r="AO30" s="233" t="s">
        <v>88</v>
      </c>
      <c r="AP30" s="234"/>
      <c r="AQ30" s="234"/>
      <c r="AR30" s="234"/>
      <c r="AS30" s="234"/>
      <c r="AT30" s="235"/>
    </row>
    <row r="31" spans="2:46" ht="15.75" customHeight="1" x14ac:dyDescent="0.25">
      <c r="B31" s="253"/>
      <c r="C31" s="176"/>
      <c r="D31" s="177"/>
      <c r="E31" s="188"/>
      <c r="F31" s="176"/>
      <c r="G31" s="176"/>
      <c r="H31" s="176"/>
      <c r="I31" s="176"/>
      <c r="J31" s="214"/>
      <c r="K31" s="215"/>
      <c r="L31" s="210"/>
      <c r="M31" s="215"/>
      <c r="N31" s="210"/>
      <c r="O31" s="211"/>
      <c r="P31" s="210"/>
      <c r="Q31" s="215"/>
      <c r="R31" s="210"/>
      <c r="S31" s="215"/>
      <c r="T31" s="210"/>
      <c r="U31" s="211"/>
      <c r="V31" s="214"/>
      <c r="W31" s="215"/>
      <c r="X31" s="210"/>
      <c r="Y31" s="215"/>
      <c r="Z31" s="210"/>
      <c r="AA31" s="211"/>
      <c r="AB31" s="214"/>
      <c r="AC31" s="215"/>
      <c r="AD31" s="210"/>
      <c r="AE31" s="215"/>
      <c r="AF31" s="210"/>
      <c r="AG31" s="211"/>
      <c r="AH31" s="214"/>
      <c r="AI31" s="215"/>
      <c r="AJ31" s="210"/>
      <c r="AK31" s="215"/>
      <c r="AL31" s="210"/>
      <c r="AM31" s="211"/>
      <c r="AN31" s="1"/>
      <c r="AO31" s="236"/>
      <c r="AP31" s="176"/>
      <c r="AQ31" s="176"/>
      <c r="AR31" s="176"/>
      <c r="AS31" s="176"/>
      <c r="AT31" s="237"/>
    </row>
    <row r="32" spans="2:46" ht="15.75" customHeight="1" x14ac:dyDescent="0.25">
      <c r="B32" s="253"/>
      <c r="C32" s="176"/>
      <c r="D32" s="177"/>
      <c r="E32" s="188"/>
      <c r="F32" s="176"/>
      <c r="G32" s="176"/>
      <c r="H32" s="176"/>
      <c r="I32" s="176"/>
      <c r="J32" s="248" t="str">
        <f>IF(AND('Mapa final'!$H$24="Baja",'Mapa final'!$L$24="Leve"),CONCATENATE("R",'Mapa final'!$A$24),"")</f>
        <v/>
      </c>
      <c r="K32" s="213"/>
      <c r="L32" s="230" t="str">
        <f>IF(AND('Mapa final'!$H$27="Baja",'Mapa final'!$L$27="Leve"),CONCATENATE("R",'Mapa final'!$A$27),"")</f>
        <v/>
      </c>
      <c r="M32" s="213"/>
      <c r="N32" s="230" t="str">
        <f>IF(AND('Mapa final'!$H$30="Baja",'Mapa final'!$L$30="Leve"),CONCATENATE("R",'Mapa final'!$A$30),"")</f>
        <v/>
      </c>
      <c r="O32" s="209"/>
      <c r="P32" s="231" t="str">
        <f>IF(AND('Mapa final'!$H$24="Baja",'Mapa final'!$L$24="Menor"),CONCATENATE("R",'Mapa final'!$A$24),"")</f>
        <v/>
      </c>
      <c r="Q32" s="213"/>
      <c r="R32" s="231" t="str">
        <f>IF(AND('Mapa final'!$H$27="Baja",'Mapa final'!$L$27="Menor"),CONCATENATE("R",'Mapa final'!$A$27),"")</f>
        <v/>
      </c>
      <c r="S32" s="213"/>
      <c r="T32" s="231" t="str">
        <f>IF(AND('Mapa final'!$H$30="Baja",'Mapa final'!$L$30="Menor"),CONCATENATE("R",'Mapa final'!$A$30),"")</f>
        <v/>
      </c>
      <c r="U32" s="209"/>
      <c r="V32" s="232" t="str">
        <f>IF(AND('Mapa final'!$H$24="Baja",'Mapa final'!$L$24="Moderado"),CONCATENATE("R",'Mapa final'!$A$24),"")</f>
        <v/>
      </c>
      <c r="W32" s="213"/>
      <c r="X32" s="231" t="str">
        <f>IF(AND('Mapa final'!$H$27="Baja",'Mapa final'!$L$27="Moderado"),CONCATENATE("R",'Mapa final'!$A$27),"")</f>
        <v/>
      </c>
      <c r="Y32" s="213"/>
      <c r="Z32" s="231" t="str">
        <f>IF(AND('Mapa final'!$H$30="Baja",'Mapa final'!$L$30="Moderado"),CONCATENATE("R",'Mapa final'!$A$30),"")</f>
        <v/>
      </c>
      <c r="AA32" s="209"/>
      <c r="AB32" s="220" t="str">
        <f>IF(AND('Mapa final'!$H$24="Baja",'Mapa final'!$L$24="Mayor"),CONCATENATE("R",'Mapa final'!$A$24),"")</f>
        <v/>
      </c>
      <c r="AC32" s="213"/>
      <c r="AD32" s="208" t="str">
        <f>IF(AND('Mapa final'!$H$27="Baja",'Mapa final'!$L$27="Mayor"),CONCATENATE("R",'Mapa final'!$A$27),"")</f>
        <v/>
      </c>
      <c r="AE32" s="213"/>
      <c r="AF32" s="208" t="str">
        <f>IF(AND('Mapa final'!$H$30="Baja",'Mapa final'!$L$30="Mayor"),CONCATENATE("R",'Mapa final'!$A$30),"")</f>
        <v/>
      </c>
      <c r="AG32" s="209"/>
      <c r="AH32" s="212" t="str">
        <f>IF(AND('Mapa final'!$H$24="Baja",'Mapa final'!$L$24="Catastrófico"),CONCATENATE("R",'Mapa final'!$A$24),"")</f>
        <v/>
      </c>
      <c r="AI32" s="213"/>
      <c r="AJ32" s="216" t="str">
        <f>IF(AND('Mapa final'!$H$27="Baja",'Mapa final'!$L$27="Catastrófico"),CONCATENATE("R",'Mapa final'!$A$27),"")</f>
        <v/>
      </c>
      <c r="AK32" s="213"/>
      <c r="AL32" s="216" t="str">
        <f>IF(AND('Mapa final'!$H$30="Baja",'Mapa final'!$L$30="Catastrófico"),CONCATENATE("R",'Mapa final'!$A$30),"")</f>
        <v/>
      </c>
      <c r="AM32" s="209"/>
      <c r="AN32" s="1"/>
      <c r="AO32" s="236"/>
      <c r="AP32" s="176"/>
      <c r="AQ32" s="176"/>
      <c r="AR32" s="176"/>
      <c r="AS32" s="176"/>
      <c r="AT32" s="237"/>
    </row>
    <row r="33" spans="2:46" ht="15.75" customHeight="1" x14ac:dyDescent="0.25">
      <c r="B33" s="253"/>
      <c r="C33" s="176"/>
      <c r="D33" s="177"/>
      <c r="E33" s="188"/>
      <c r="F33" s="176"/>
      <c r="G33" s="176"/>
      <c r="H33" s="176"/>
      <c r="I33" s="176"/>
      <c r="J33" s="214"/>
      <c r="K33" s="215"/>
      <c r="L33" s="210"/>
      <c r="M33" s="215"/>
      <c r="N33" s="210"/>
      <c r="O33" s="211"/>
      <c r="P33" s="210"/>
      <c r="Q33" s="215"/>
      <c r="R33" s="210"/>
      <c r="S33" s="215"/>
      <c r="T33" s="210"/>
      <c r="U33" s="211"/>
      <c r="V33" s="214"/>
      <c r="W33" s="215"/>
      <c r="X33" s="210"/>
      <c r="Y33" s="215"/>
      <c r="Z33" s="210"/>
      <c r="AA33" s="211"/>
      <c r="AB33" s="214"/>
      <c r="AC33" s="215"/>
      <c r="AD33" s="210"/>
      <c r="AE33" s="215"/>
      <c r="AF33" s="210"/>
      <c r="AG33" s="211"/>
      <c r="AH33" s="214"/>
      <c r="AI33" s="215"/>
      <c r="AJ33" s="210"/>
      <c r="AK33" s="215"/>
      <c r="AL33" s="210"/>
      <c r="AM33" s="211"/>
      <c r="AN33" s="1"/>
      <c r="AO33" s="236"/>
      <c r="AP33" s="176"/>
      <c r="AQ33" s="176"/>
      <c r="AR33" s="176"/>
      <c r="AS33" s="176"/>
      <c r="AT33" s="237"/>
    </row>
    <row r="34" spans="2:46" ht="15.75" customHeight="1" x14ac:dyDescent="0.25">
      <c r="B34" s="253"/>
      <c r="C34" s="176"/>
      <c r="D34" s="177"/>
      <c r="E34" s="188"/>
      <c r="F34" s="176"/>
      <c r="G34" s="176"/>
      <c r="H34" s="176"/>
      <c r="I34" s="176"/>
      <c r="J34" s="248" t="e">
        <f>IF(AND('Mapa final'!#REF!="Baja",'Mapa final'!#REF!="Leve"),CONCATENATE("R",'Mapa final'!#REF!),"")</f>
        <v>#REF!</v>
      </c>
      <c r="K34" s="213"/>
      <c r="L34" s="230" t="e">
        <f>IF(AND('Mapa final'!#REF!="Baja",'Mapa final'!#REF!="Leve"),CONCATENATE("R",'Mapa final'!#REF!),"")</f>
        <v>#REF!</v>
      </c>
      <c r="M34" s="213"/>
      <c r="N34" s="230" t="e">
        <f>IF(AND('Mapa final'!#REF!="Baja",'Mapa final'!#REF!="Leve"),CONCATENATE("R",'Mapa final'!#REF!),"")</f>
        <v>#REF!</v>
      </c>
      <c r="O34" s="209"/>
      <c r="P34" s="231" t="e">
        <f>IF(AND('Mapa final'!#REF!="Baja",'Mapa final'!#REF!="Menor"),CONCATENATE("R",'Mapa final'!#REF!),"")</f>
        <v>#REF!</v>
      </c>
      <c r="Q34" s="213"/>
      <c r="R34" s="231" t="e">
        <f>IF(AND('Mapa final'!#REF!="Baja",'Mapa final'!#REF!="Menor"),CONCATENATE("R",'Mapa final'!#REF!),"")</f>
        <v>#REF!</v>
      </c>
      <c r="S34" s="213"/>
      <c r="T34" s="231" t="e">
        <f>IF(AND('Mapa final'!#REF!="Baja",'Mapa final'!#REF!="Menor"),CONCATENATE("R",'Mapa final'!#REF!),"")</f>
        <v>#REF!</v>
      </c>
      <c r="U34" s="209"/>
      <c r="V34" s="232" t="e">
        <f>IF(AND('Mapa final'!#REF!="Baja",'Mapa final'!#REF!="Moderado"),CONCATENATE("R",'Mapa final'!#REF!),"")</f>
        <v>#REF!</v>
      </c>
      <c r="W34" s="213"/>
      <c r="X34" s="231" t="e">
        <f>IF(AND('Mapa final'!#REF!="Baja",'Mapa final'!#REF!="Moderado"),CONCATENATE("R",'Mapa final'!#REF!),"")</f>
        <v>#REF!</v>
      </c>
      <c r="Y34" s="213"/>
      <c r="Z34" s="231" t="e">
        <f>IF(AND('Mapa final'!#REF!="Baja",'Mapa final'!#REF!="Moderado"),CONCATENATE("R",'Mapa final'!#REF!),"")</f>
        <v>#REF!</v>
      </c>
      <c r="AA34" s="209"/>
      <c r="AB34" s="220" t="e">
        <f>IF(AND('Mapa final'!#REF!="Baja",'Mapa final'!#REF!="Mayor"),CONCATENATE("R",'Mapa final'!#REF!),"")</f>
        <v>#REF!</v>
      </c>
      <c r="AC34" s="213"/>
      <c r="AD34" s="208" t="e">
        <f>IF(AND('Mapa final'!#REF!="Baja",'Mapa final'!#REF!="Mayor"),CONCATENATE("R",'Mapa final'!#REF!),"")</f>
        <v>#REF!</v>
      </c>
      <c r="AE34" s="213"/>
      <c r="AF34" s="208" t="e">
        <f>IF(AND('Mapa final'!#REF!="Baja",'Mapa final'!#REF!="Mayor"),CONCATENATE("R",'Mapa final'!#REF!),"")</f>
        <v>#REF!</v>
      </c>
      <c r="AG34" s="209"/>
      <c r="AH34" s="212" t="e">
        <f>IF(AND('Mapa final'!#REF!="Baja",'Mapa final'!#REF!="Catastrófico"),CONCATENATE("R",'Mapa final'!#REF!),"")</f>
        <v>#REF!</v>
      </c>
      <c r="AI34" s="213"/>
      <c r="AJ34" s="216" t="e">
        <f>IF(AND('Mapa final'!#REF!="Baja",'Mapa final'!#REF!="Catastrófico"),CONCATENATE("R",'Mapa final'!#REF!),"")</f>
        <v>#REF!</v>
      </c>
      <c r="AK34" s="213"/>
      <c r="AL34" s="216" t="e">
        <f>IF(AND('Mapa final'!#REF!="Baja",'Mapa final'!#REF!="Catastrófico"),CONCATENATE("R",'Mapa final'!#REF!),"")</f>
        <v>#REF!</v>
      </c>
      <c r="AM34" s="209"/>
      <c r="AN34" s="1"/>
      <c r="AO34" s="236"/>
      <c r="AP34" s="176"/>
      <c r="AQ34" s="176"/>
      <c r="AR34" s="176"/>
      <c r="AS34" s="176"/>
      <c r="AT34" s="237"/>
    </row>
    <row r="35" spans="2:46" ht="15.75" customHeight="1" x14ac:dyDescent="0.25">
      <c r="B35" s="253"/>
      <c r="C35" s="176"/>
      <c r="D35" s="177"/>
      <c r="E35" s="188"/>
      <c r="F35" s="176"/>
      <c r="G35" s="176"/>
      <c r="H35" s="176"/>
      <c r="I35" s="176"/>
      <c r="J35" s="214"/>
      <c r="K35" s="215"/>
      <c r="L35" s="210"/>
      <c r="M35" s="215"/>
      <c r="N35" s="210"/>
      <c r="O35" s="211"/>
      <c r="P35" s="210"/>
      <c r="Q35" s="215"/>
      <c r="R35" s="210"/>
      <c r="S35" s="215"/>
      <c r="T35" s="210"/>
      <c r="U35" s="211"/>
      <c r="V35" s="214"/>
      <c r="W35" s="215"/>
      <c r="X35" s="210"/>
      <c r="Y35" s="215"/>
      <c r="Z35" s="210"/>
      <c r="AA35" s="211"/>
      <c r="AB35" s="214"/>
      <c r="AC35" s="215"/>
      <c r="AD35" s="210"/>
      <c r="AE35" s="215"/>
      <c r="AF35" s="210"/>
      <c r="AG35" s="211"/>
      <c r="AH35" s="214"/>
      <c r="AI35" s="215"/>
      <c r="AJ35" s="210"/>
      <c r="AK35" s="215"/>
      <c r="AL35" s="210"/>
      <c r="AM35" s="211"/>
      <c r="AN35" s="1"/>
      <c r="AO35" s="236"/>
      <c r="AP35" s="176"/>
      <c r="AQ35" s="176"/>
      <c r="AR35" s="176"/>
      <c r="AS35" s="176"/>
      <c r="AT35" s="237"/>
    </row>
    <row r="36" spans="2:46" ht="15.75" customHeight="1" x14ac:dyDescent="0.25">
      <c r="B36" s="253"/>
      <c r="C36" s="176"/>
      <c r="D36" s="177"/>
      <c r="E36" s="188"/>
      <c r="F36" s="176"/>
      <c r="G36" s="176"/>
      <c r="H36" s="176"/>
      <c r="I36" s="176"/>
      <c r="J36" s="248" t="e">
        <f>IF(AND('Mapa final'!#REF!="Baja",'Mapa final'!#REF!="Leve"),CONCATENATE("R",'Mapa final'!#REF!),"")</f>
        <v>#REF!</v>
      </c>
      <c r="K36" s="213"/>
      <c r="L36" s="230" t="e">
        <f>IF(AND('Mapa final'!#REF!="Baja",'Mapa final'!#REF!="Leve"),CONCATENATE("R",'Mapa final'!#REF!),"")</f>
        <v>#REF!</v>
      </c>
      <c r="M36" s="213"/>
      <c r="N36" s="230" t="str">
        <f>IF(AND('Mapa final'!$H$37="Baja",'Mapa final'!$L$37="Leve"),CONCATENATE("R",'Mapa final'!$A$37),"")</f>
        <v/>
      </c>
      <c r="O36" s="209"/>
      <c r="P36" s="231" t="e">
        <f>IF(AND('Mapa final'!#REF!="Baja",'Mapa final'!#REF!="Menor"),CONCATENATE("R",'Mapa final'!#REF!),"")</f>
        <v>#REF!</v>
      </c>
      <c r="Q36" s="213"/>
      <c r="R36" s="231" t="e">
        <f>IF(AND('Mapa final'!#REF!="Baja",'Mapa final'!#REF!="Menor"),CONCATENATE("R",'Mapa final'!#REF!),"")</f>
        <v>#REF!</v>
      </c>
      <c r="S36" s="213"/>
      <c r="T36" s="231" t="str">
        <f>IF(AND('Mapa final'!$H$37="Baja",'Mapa final'!$L$37="Menor"),CONCATENATE("R",'Mapa final'!$A$37),"")</f>
        <v/>
      </c>
      <c r="U36" s="209"/>
      <c r="V36" s="232" t="e">
        <f>IF(AND('Mapa final'!#REF!="Baja",'Mapa final'!#REF!="Moderado"),CONCATENATE("R",'Mapa final'!#REF!),"")</f>
        <v>#REF!</v>
      </c>
      <c r="W36" s="213"/>
      <c r="X36" s="231" t="e">
        <f>IF(AND('Mapa final'!#REF!="Baja",'Mapa final'!#REF!="Moderado"),CONCATENATE("R",'Mapa final'!#REF!),"")</f>
        <v>#REF!</v>
      </c>
      <c r="Y36" s="213"/>
      <c r="Z36" s="231" t="str">
        <f>IF(AND('Mapa final'!$H$37="Baja",'Mapa final'!$L$37="Moderado"),CONCATENATE("R",'Mapa final'!$A$37),"")</f>
        <v/>
      </c>
      <c r="AA36" s="209"/>
      <c r="AB36" s="220" t="e">
        <f>IF(AND('Mapa final'!#REF!="Baja",'Mapa final'!#REF!="Mayor"),CONCATENATE("R",'Mapa final'!#REF!),"")</f>
        <v>#REF!</v>
      </c>
      <c r="AC36" s="213"/>
      <c r="AD36" s="208" t="e">
        <f>IF(AND('Mapa final'!#REF!="Baja",'Mapa final'!#REF!="Mayor"),CONCATENATE("R",'Mapa final'!#REF!),"")</f>
        <v>#REF!</v>
      </c>
      <c r="AE36" s="213"/>
      <c r="AF36" s="208" t="str">
        <f>IF(AND('Mapa final'!$H$37="Baja",'Mapa final'!$L$37="Mayor"),CONCATENATE("R",'Mapa final'!$A$37),"")</f>
        <v/>
      </c>
      <c r="AG36" s="209"/>
      <c r="AH36" s="212" t="e">
        <f>IF(AND('Mapa final'!#REF!="Baja",'Mapa final'!#REF!="Catastrófico"),CONCATENATE("R",'Mapa final'!#REF!),"")</f>
        <v>#REF!</v>
      </c>
      <c r="AI36" s="213"/>
      <c r="AJ36" s="216" t="e">
        <f>IF(AND('Mapa final'!#REF!="Baja",'Mapa final'!#REF!="Catastrófico"),CONCATENATE("R",'Mapa final'!#REF!),"")</f>
        <v>#REF!</v>
      </c>
      <c r="AK36" s="213"/>
      <c r="AL36" s="216" t="str">
        <f>IF(AND('Mapa final'!$H$37="Baja",'Mapa final'!$L$37="Catastrófico"),CONCATENATE("R",'Mapa final'!$A$37),"")</f>
        <v/>
      </c>
      <c r="AM36" s="209"/>
      <c r="AN36" s="1"/>
      <c r="AO36" s="236"/>
      <c r="AP36" s="176"/>
      <c r="AQ36" s="176"/>
      <c r="AR36" s="176"/>
      <c r="AS36" s="176"/>
      <c r="AT36" s="237"/>
    </row>
    <row r="37" spans="2:46" ht="15.75" customHeight="1" x14ac:dyDescent="0.25">
      <c r="B37" s="253"/>
      <c r="C37" s="176"/>
      <c r="D37" s="177"/>
      <c r="E37" s="222"/>
      <c r="F37" s="246"/>
      <c r="G37" s="246"/>
      <c r="H37" s="246"/>
      <c r="I37" s="246"/>
      <c r="J37" s="222"/>
      <c r="K37" s="223"/>
      <c r="L37" s="224"/>
      <c r="M37" s="223"/>
      <c r="N37" s="224"/>
      <c r="O37" s="225"/>
      <c r="P37" s="224"/>
      <c r="Q37" s="223"/>
      <c r="R37" s="224"/>
      <c r="S37" s="223"/>
      <c r="T37" s="224"/>
      <c r="U37" s="225"/>
      <c r="V37" s="222"/>
      <c r="W37" s="223"/>
      <c r="X37" s="224"/>
      <c r="Y37" s="223"/>
      <c r="Z37" s="224"/>
      <c r="AA37" s="225"/>
      <c r="AB37" s="222"/>
      <c r="AC37" s="223"/>
      <c r="AD37" s="224"/>
      <c r="AE37" s="223"/>
      <c r="AF37" s="224"/>
      <c r="AG37" s="225"/>
      <c r="AH37" s="222"/>
      <c r="AI37" s="223"/>
      <c r="AJ37" s="224"/>
      <c r="AK37" s="223"/>
      <c r="AL37" s="224"/>
      <c r="AM37" s="225"/>
      <c r="AN37" s="1"/>
      <c r="AO37" s="238"/>
      <c r="AP37" s="239"/>
      <c r="AQ37" s="239"/>
      <c r="AR37" s="239"/>
      <c r="AS37" s="239"/>
      <c r="AT37" s="240"/>
    </row>
    <row r="38" spans="2:46" ht="15.75" customHeight="1" x14ac:dyDescent="0.25">
      <c r="B38" s="253"/>
      <c r="C38" s="176"/>
      <c r="D38" s="177"/>
      <c r="E38" s="244" t="s">
        <v>89</v>
      </c>
      <c r="F38" s="245"/>
      <c r="G38" s="245"/>
      <c r="H38" s="245"/>
      <c r="I38" s="227"/>
      <c r="J38" s="247" t="str">
        <f>IF(AND('Mapa final'!$H$15="Muy Baja",'Mapa final'!$L$15="Leve"),CONCATENATE("R",'Mapa final'!$A$15),"")</f>
        <v/>
      </c>
      <c r="K38" s="218"/>
      <c r="L38" s="249" t="str">
        <f>IF(AND('Mapa final'!$H$18="Muy Baja",'Mapa final'!$L$18="Leve"),CONCATENATE("R",'Mapa final'!$A$18),"")</f>
        <v/>
      </c>
      <c r="M38" s="218"/>
      <c r="N38" s="249" t="str">
        <f>IF(AND('Mapa final'!$H$21="Muy Baja",'Mapa final'!$L$21="Leve"),CONCATENATE("R",'Mapa final'!$A$21),"")</f>
        <v/>
      </c>
      <c r="O38" s="227"/>
      <c r="P38" s="247" t="str">
        <f>IF(AND('Mapa final'!$H$15="Muy Baja",'Mapa final'!$L$15="Menor"),CONCATENATE("R",'Mapa final'!$A$15),"")</f>
        <v/>
      </c>
      <c r="Q38" s="218"/>
      <c r="R38" s="249" t="str">
        <f>IF(AND('Mapa final'!$H$18="Muy Baja",'Mapa final'!$L$18="Menor"),CONCATENATE("R",'Mapa final'!$A$18),"")</f>
        <v/>
      </c>
      <c r="S38" s="218"/>
      <c r="T38" s="249" t="str">
        <f>IF(AND('Mapa final'!$H$21="Muy Baja",'Mapa final'!$L$21="Menor"),CONCATENATE("R",'Mapa final'!$A$21),"")</f>
        <v/>
      </c>
      <c r="U38" s="227"/>
      <c r="V38" s="228" t="str">
        <f>IF(AND('Mapa final'!$H$15="Muy Baja",'Mapa final'!$L$15="Moderado"),CONCATENATE("R",'Mapa final'!$A$15),"")</f>
        <v/>
      </c>
      <c r="W38" s="218"/>
      <c r="X38" s="226" t="str">
        <f>IF(AND('Mapa final'!$H$18="Muy Baja",'Mapa final'!$L$18="Moderado"),CONCATENATE("R",'Mapa final'!$A$18),"")</f>
        <v/>
      </c>
      <c r="Y38" s="218"/>
      <c r="Z38" s="226" t="str">
        <f>IF(AND('Mapa final'!$H$21="Muy Baja",'Mapa final'!$L$21="Moderado"),CONCATENATE("R",'Mapa final'!$A$21),"")</f>
        <v/>
      </c>
      <c r="AA38" s="227"/>
      <c r="AB38" s="217" t="str">
        <f>IF(AND('Mapa final'!$H$15="Muy Baja",'Mapa final'!$L$15="Mayor"),CONCATENATE("R",'Mapa final'!$A$15),"")</f>
        <v/>
      </c>
      <c r="AC38" s="218"/>
      <c r="AD38" s="219" t="str">
        <f>IF(AND('Mapa final'!$H$18="Muy Baja",'Mapa final'!$L$18="Mayor"),CONCATENATE("R",'Mapa final'!$A$18),"")</f>
        <v/>
      </c>
      <c r="AE38" s="218"/>
      <c r="AF38" s="219" t="str">
        <f>IF(AND('Mapa final'!$H$21="Muy Baja",'Mapa final'!$L$21="Mayor"),CONCATENATE("R",'Mapa final'!$A$21),"")</f>
        <v/>
      </c>
      <c r="AG38" s="227"/>
      <c r="AH38" s="229" t="str">
        <f>IF(AND('Mapa final'!$H$15="Muy Baja",'Mapa final'!$L$15="Catastrófico"),CONCATENATE("R",'Mapa final'!$A$15),"")</f>
        <v/>
      </c>
      <c r="AI38" s="218"/>
      <c r="AJ38" s="221" t="str">
        <f>IF(AND('Mapa final'!$H$18="Muy Baja",'Mapa final'!$L$18="Catastrófico"),CONCATENATE("R",'Mapa final'!$A$18),"")</f>
        <v/>
      </c>
      <c r="AK38" s="218"/>
      <c r="AL38" s="221" t="str">
        <f>IF(AND('Mapa final'!$H$21="Muy Baja",'Mapa final'!$L$21="Catastrófico"),CONCATENATE("R",'Mapa final'!$A$21),"")</f>
        <v/>
      </c>
      <c r="AM38" s="227"/>
      <c r="AN38" s="1"/>
      <c r="AO38" s="1"/>
      <c r="AP38" s="1"/>
      <c r="AQ38" s="1"/>
      <c r="AR38" s="1"/>
      <c r="AS38" s="1"/>
      <c r="AT38" s="1"/>
    </row>
    <row r="39" spans="2:46" ht="15.75" customHeight="1" x14ac:dyDescent="0.25">
      <c r="B39" s="253"/>
      <c r="C39" s="176"/>
      <c r="D39" s="177"/>
      <c r="E39" s="188"/>
      <c r="F39" s="176"/>
      <c r="G39" s="176"/>
      <c r="H39" s="176"/>
      <c r="I39" s="177"/>
      <c r="J39" s="214"/>
      <c r="K39" s="215"/>
      <c r="L39" s="210"/>
      <c r="M39" s="215"/>
      <c r="N39" s="210"/>
      <c r="O39" s="211"/>
      <c r="P39" s="214"/>
      <c r="Q39" s="215"/>
      <c r="R39" s="210"/>
      <c r="S39" s="215"/>
      <c r="T39" s="210"/>
      <c r="U39" s="211"/>
      <c r="V39" s="214"/>
      <c r="W39" s="215"/>
      <c r="X39" s="210"/>
      <c r="Y39" s="215"/>
      <c r="Z39" s="210"/>
      <c r="AA39" s="211"/>
      <c r="AB39" s="214"/>
      <c r="AC39" s="215"/>
      <c r="AD39" s="210"/>
      <c r="AE39" s="215"/>
      <c r="AF39" s="210"/>
      <c r="AG39" s="211"/>
      <c r="AH39" s="214"/>
      <c r="AI39" s="215"/>
      <c r="AJ39" s="210"/>
      <c r="AK39" s="215"/>
      <c r="AL39" s="210"/>
      <c r="AM39" s="211"/>
      <c r="AN39" s="1"/>
      <c r="AO39" s="1"/>
      <c r="AP39" s="1"/>
      <c r="AQ39" s="1"/>
      <c r="AR39" s="1"/>
      <c r="AS39" s="1"/>
      <c r="AT39" s="1"/>
    </row>
    <row r="40" spans="2:46" ht="15.75" customHeight="1" x14ac:dyDescent="0.25">
      <c r="B40" s="253"/>
      <c r="C40" s="176"/>
      <c r="D40" s="177"/>
      <c r="E40" s="188"/>
      <c r="F40" s="176"/>
      <c r="G40" s="176"/>
      <c r="H40" s="176"/>
      <c r="I40" s="177"/>
      <c r="J40" s="248" t="str">
        <f>IF(AND('Mapa final'!$H$24="Muy Baja",'Mapa final'!$L$24="Leve"),CONCATENATE("R",'Mapa final'!$A$24),"")</f>
        <v/>
      </c>
      <c r="K40" s="213"/>
      <c r="L40" s="230" t="str">
        <f>IF(AND('Mapa final'!$H$27="Muy Baja",'Mapa final'!$L$27="Leve"),CONCATENATE("R",'Mapa final'!$A$27),"")</f>
        <v/>
      </c>
      <c r="M40" s="213"/>
      <c r="N40" s="230" t="str">
        <f>IF(AND('Mapa final'!$H$30="Muy Baja",'Mapa final'!$L$30="Leve"),CONCATENATE("R",'Mapa final'!$A$30),"")</f>
        <v/>
      </c>
      <c r="O40" s="209"/>
      <c r="P40" s="248" t="str">
        <f>IF(AND('Mapa final'!$H$24="Muy Baja",'Mapa final'!$L$24="Menor"),CONCATENATE("R",'Mapa final'!$A$24),"")</f>
        <v/>
      </c>
      <c r="Q40" s="213"/>
      <c r="R40" s="230" t="str">
        <f>IF(AND('Mapa final'!$H$27="Muy Baja",'Mapa final'!$L$27="Menor"),CONCATENATE("R",'Mapa final'!$A$27),"")</f>
        <v/>
      </c>
      <c r="S40" s="213"/>
      <c r="T40" s="230" t="str">
        <f>IF(AND('Mapa final'!$H$30="Muy Baja",'Mapa final'!$L$30="Menor"),CONCATENATE("R",'Mapa final'!$A$30),"")</f>
        <v/>
      </c>
      <c r="U40" s="209"/>
      <c r="V40" s="232" t="str">
        <f>IF(AND('Mapa final'!$H$24="Muy Baja",'Mapa final'!$L$24="Moderado"),CONCATENATE("R",'Mapa final'!$A$24),"")</f>
        <v/>
      </c>
      <c r="W40" s="213"/>
      <c r="X40" s="231" t="str">
        <f>IF(AND('Mapa final'!$H$27="Muy Baja",'Mapa final'!$L$27="Moderado"),CONCATENATE("R",'Mapa final'!$A$27),"")</f>
        <v/>
      </c>
      <c r="Y40" s="213"/>
      <c r="Z40" s="231" t="str">
        <f>IF(AND('Mapa final'!$H$30="Muy Baja",'Mapa final'!$L$30="Moderado"),CONCATENATE("R",'Mapa final'!$A$30),"")</f>
        <v/>
      </c>
      <c r="AA40" s="209"/>
      <c r="AB40" s="220" t="str">
        <f>IF(AND('Mapa final'!$H$24="Muy Baja",'Mapa final'!$L$24="Mayor"),CONCATENATE("R",'Mapa final'!$A$24),"")</f>
        <v/>
      </c>
      <c r="AC40" s="213"/>
      <c r="AD40" s="208" t="str">
        <f>IF(AND('Mapa final'!$H$27="Muy Baja",'Mapa final'!$L$27="Mayor"),CONCATENATE("R",'Mapa final'!$A$27),"")</f>
        <v/>
      </c>
      <c r="AE40" s="213"/>
      <c r="AF40" s="208" t="str">
        <f>IF(AND('Mapa final'!$H$30="Muy Baja",'Mapa final'!$L$30="Mayor"),CONCATENATE("R",'Mapa final'!$A$30),"")</f>
        <v/>
      </c>
      <c r="AG40" s="209"/>
      <c r="AH40" s="212" t="str">
        <f>IF(AND('Mapa final'!$H$24="Muy Baja",'Mapa final'!$L$24="Catastrófico"),CONCATENATE("R",'Mapa final'!$A$24),"")</f>
        <v/>
      </c>
      <c r="AI40" s="213"/>
      <c r="AJ40" s="216" t="str">
        <f>IF(AND('Mapa final'!$H$27="Muy Baja",'Mapa final'!$L$27="Catastrófico"),CONCATENATE("R",'Mapa final'!$A$27),"")</f>
        <v/>
      </c>
      <c r="AK40" s="213"/>
      <c r="AL40" s="216" t="str">
        <f>IF(AND('Mapa final'!$H$30="Muy Baja",'Mapa final'!$L$30="Catastrófico"),CONCATENATE("R",'Mapa final'!$A$30),"")</f>
        <v/>
      </c>
      <c r="AM40" s="209"/>
      <c r="AN40" s="1"/>
      <c r="AO40" s="1"/>
      <c r="AP40" s="1"/>
      <c r="AQ40" s="1"/>
      <c r="AR40" s="1"/>
      <c r="AS40" s="1"/>
      <c r="AT40" s="1"/>
    </row>
    <row r="41" spans="2:46" ht="15.75" customHeight="1" x14ac:dyDescent="0.25">
      <c r="B41" s="253"/>
      <c r="C41" s="176"/>
      <c r="D41" s="177"/>
      <c r="E41" s="188"/>
      <c r="F41" s="176"/>
      <c r="G41" s="176"/>
      <c r="H41" s="176"/>
      <c r="I41" s="177"/>
      <c r="J41" s="214"/>
      <c r="K41" s="215"/>
      <c r="L41" s="210"/>
      <c r="M41" s="215"/>
      <c r="N41" s="210"/>
      <c r="O41" s="211"/>
      <c r="P41" s="214"/>
      <c r="Q41" s="215"/>
      <c r="R41" s="210"/>
      <c r="S41" s="215"/>
      <c r="T41" s="210"/>
      <c r="U41" s="211"/>
      <c r="V41" s="214"/>
      <c r="W41" s="215"/>
      <c r="X41" s="210"/>
      <c r="Y41" s="215"/>
      <c r="Z41" s="210"/>
      <c r="AA41" s="211"/>
      <c r="AB41" s="214"/>
      <c r="AC41" s="215"/>
      <c r="AD41" s="210"/>
      <c r="AE41" s="215"/>
      <c r="AF41" s="210"/>
      <c r="AG41" s="211"/>
      <c r="AH41" s="214"/>
      <c r="AI41" s="215"/>
      <c r="AJ41" s="210"/>
      <c r="AK41" s="215"/>
      <c r="AL41" s="210"/>
      <c r="AM41" s="211"/>
      <c r="AN41" s="1"/>
      <c r="AO41" s="1"/>
      <c r="AP41" s="1"/>
      <c r="AQ41" s="1"/>
      <c r="AR41" s="1"/>
      <c r="AS41" s="1"/>
      <c r="AT41" s="1"/>
    </row>
    <row r="42" spans="2:46" ht="15.75" customHeight="1" x14ac:dyDescent="0.25">
      <c r="B42" s="253"/>
      <c r="C42" s="176"/>
      <c r="D42" s="177"/>
      <c r="E42" s="188"/>
      <c r="F42" s="176"/>
      <c r="G42" s="176"/>
      <c r="H42" s="176"/>
      <c r="I42" s="177"/>
      <c r="J42" s="248" t="e">
        <f>IF(AND('Mapa final'!#REF!="Muy Baja",'Mapa final'!#REF!="Leve"),CONCATENATE("R",'Mapa final'!#REF!),"")</f>
        <v>#REF!</v>
      </c>
      <c r="K42" s="213"/>
      <c r="L42" s="230" t="e">
        <f>IF(AND('Mapa final'!#REF!="Muy Baja",'Mapa final'!#REF!="Leve"),CONCATENATE("R",'Mapa final'!#REF!),"")</f>
        <v>#REF!</v>
      </c>
      <c r="M42" s="213"/>
      <c r="N42" s="230" t="e">
        <f>IF(AND('Mapa final'!#REF!="Muy Baja",'Mapa final'!#REF!="Leve"),CONCATENATE("R",'Mapa final'!#REF!),"")</f>
        <v>#REF!</v>
      </c>
      <c r="O42" s="209"/>
      <c r="P42" s="248" t="e">
        <f>IF(AND('Mapa final'!#REF!="Muy Baja",'Mapa final'!#REF!="Menor"),CONCATENATE("R",'Mapa final'!#REF!),"")</f>
        <v>#REF!</v>
      </c>
      <c r="Q42" s="213"/>
      <c r="R42" s="230" t="e">
        <f>IF(AND('Mapa final'!#REF!="Muy Baja",'Mapa final'!#REF!="Menor"),CONCATENATE("R",'Mapa final'!#REF!),"")</f>
        <v>#REF!</v>
      </c>
      <c r="S42" s="213"/>
      <c r="T42" s="230" t="e">
        <f>IF(AND('Mapa final'!#REF!="Muy Baja",'Mapa final'!#REF!="Menor"),CONCATENATE("R",'Mapa final'!#REF!),"")</f>
        <v>#REF!</v>
      </c>
      <c r="U42" s="209"/>
      <c r="V42" s="232" t="e">
        <f>IF(AND('Mapa final'!#REF!="Muy Baja",'Mapa final'!#REF!="Moderado"),CONCATENATE("R",'Mapa final'!#REF!),"")</f>
        <v>#REF!</v>
      </c>
      <c r="W42" s="213"/>
      <c r="X42" s="231" t="e">
        <f>IF(AND('Mapa final'!#REF!="Muy Baja",'Mapa final'!#REF!="Moderado"),CONCATENATE("R",'Mapa final'!#REF!),"")</f>
        <v>#REF!</v>
      </c>
      <c r="Y42" s="213"/>
      <c r="Z42" s="231" t="e">
        <f>IF(AND('Mapa final'!#REF!="Muy Baja",'Mapa final'!#REF!="Moderado"),CONCATENATE("R",'Mapa final'!#REF!),"")</f>
        <v>#REF!</v>
      </c>
      <c r="AA42" s="209"/>
      <c r="AB42" s="220" t="e">
        <f>IF(AND('Mapa final'!#REF!="Muy Baja",'Mapa final'!#REF!="Mayor"),CONCATENATE("R",'Mapa final'!#REF!),"")</f>
        <v>#REF!</v>
      </c>
      <c r="AC42" s="213"/>
      <c r="AD42" s="208" t="e">
        <f>IF(AND('Mapa final'!#REF!="Muy Baja",'Mapa final'!#REF!="Mayor"),CONCATENATE("R",'Mapa final'!#REF!),"")</f>
        <v>#REF!</v>
      </c>
      <c r="AE42" s="213"/>
      <c r="AF42" s="208" t="e">
        <f>IF(AND('Mapa final'!#REF!="Muy Baja",'Mapa final'!#REF!="Mayor"),CONCATENATE("R",'Mapa final'!#REF!),"")</f>
        <v>#REF!</v>
      </c>
      <c r="AG42" s="209"/>
      <c r="AH42" s="212" t="e">
        <f>IF(AND('Mapa final'!#REF!="Muy Baja",'Mapa final'!#REF!="Catastrófico"),CONCATENATE("R",'Mapa final'!#REF!),"")</f>
        <v>#REF!</v>
      </c>
      <c r="AI42" s="213"/>
      <c r="AJ42" s="216" t="e">
        <f>IF(AND('Mapa final'!#REF!="Muy Baja",'Mapa final'!#REF!="Catastrófico"),CONCATENATE("R",'Mapa final'!#REF!),"")</f>
        <v>#REF!</v>
      </c>
      <c r="AK42" s="213"/>
      <c r="AL42" s="216" t="e">
        <f>IF(AND('Mapa final'!#REF!="Muy Baja",'Mapa final'!#REF!="Catastrófico"),CONCATENATE("R",'Mapa final'!#REF!),"")</f>
        <v>#REF!</v>
      </c>
      <c r="AM42" s="209"/>
      <c r="AN42" s="1"/>
      <c r="AO42" s="1"/>
      <c r="AP42" s="1"/>
      <c r="AQ42" s="1"/>
      <c r="AR42" s="1"/>
      <c r="AS42" s="1"/>
      <c r="AT42" s="1"/>
    </row>
    <row r="43" spans="2:46" ht="15.75" customHeight="1" x14ac:dyDescent="0.25">
      <c r="B43" s="253"/>
      <c r="C43" s="176"/>
      <c r="D43" s="177"/>
      <c r="E43" s="188"/>
      <c r="F43" s="176"/>
      <c r="G43" s="176"/>
      <c r="H43" s="176"/>
      <c r="I43" s="177"/>
      <c r="J43" s="214"/>
      <c r="K43" s="215"/>
      <c r="L43" s="210"/>
      <c r="M43" s="215"/>
      <c r="N43" s="210"/>
      <c r="O43" s="211"/>
      <c r="P43" s="214"/>
      <c r="Q43" s="215"/>
      <c r="R43" s="210"/>
      <c r="S43" s="215"/>
      <c r="T43" s="210"/>
      <c r="U43" s="211"/>
      <c r="V43" s="214"/>
      <c r="W43" s="215"/>
      <c r="X43" s="210"/>
      <c r="Y43" s="215"/>
      <c r="Z43" s="210"/>
      <c r="AA43" s="211"/>
      <c r="AB43" s="214"/>
      <c r="AC43" s="215"/>
      <c r="AD43" s="210"/>
      <c r="AE43" s="215"/>
      <c r="AF43" s="210"/>
      <c r="AG43" s="211"/>
      <c r="AH43" s="214"/>
      <c r="AI43" s="215"/>
      <c r="AJ43" s="210"/>
      <c r="AK43" s="215"/>
      <c r="AL43" s="210"/>
      <c r="AM43" s="211"/>
      <c r="AN43" s="1"/>
      <c r="AO43" s="1"/>
      <c r="AP43" s="1"/>
      <c r="AQ43" s="1"/>
      <c r="AR43" s="1"/>
      <c r="AS43" s="1"/>
      <c r="AT43" s="1"/>
    </row>
    <row r="44" spans="2:46" ht="15.75" customHeight="1" x14ac:dyDescent="0.25">
      <c r="B44" s="253"/>
      <c r="C44" s="176"/>
      <c r="D44" s="177"/>
      <c r="E44" s="188"/>
      <c r="F44" s="176"/>
      <c r="G44" s="176"/>
      <c r="H44" s="176"/>
      <c r="I44" s="177"/>
      <c r="J44" s="248" t="e">
        <f>IF(AND('Mapa final'!#REF!="Muy Baja",'Mapa final'!#REF!="Leve"),CONCATENATE("R",'Mapa final'!#REF!),"")</f>
        <v>#REF!</v>
      </c>
      <c r="K44" s="213"/>
      <c r="L44" s="230" t="e">
        <f>IF(AND('Mapa final'!#REF!="Muy Baja",'Mapa final'!#REF!="Leve"),CONCATENATE("R",'Mapa final'!#REF!),"")</f>
        <v>#REF!</v>
      </c>
      <c r="M44" s="213"/>
      <c r="N44" s="230" t="str">
        <f>IF(AND('Mapa final'!$H$37="Muy Baja",'Mapa final'!$L$37="Leve"),CONCATENATE("R",'Mapa final'!$A$37),"")</f>
        <v/>
      </c>
      <c r="O44" s="209"/>
      <c r="P44" s="248" t="e">
        <f>IF(AND('Mapa final'!#REF!="Muy Baja",'Mapa final'!#REF!="Menor"),CONCATENATE("R",'Mapa final'!#REF!),"")</f>
        <v>#REF!</v>
      </c>
      <c r="Q44" s="213"/>
      <c r="R44" s="230" t="e">
        <f>IF(AND('Mapa final'!#REF!="Muy Baja",'Mapa final'!#REF!="Menor"),CONCATENATE("R",'Mapa final'!#REF!),"")</f>
        <v>#REF!</v>
      </c>
      <c r="S44" s="213"/>
      <c r="T44" s="230" t="str">
        <f>IF(AND('Mapa final'!$H$37="Muy Baja",'Mapa final'!$L$37="Menor"),CONCATENATE("R",'Mapa final'!$A$37),"")</f>
        <v/>
      </c>
      <c r="U44" s="209"/>
      <c r="V44" s="232" t="e">
        <f>IF(AND('Mapa final'!#REF!="Muy Baja",'Mapa final'!#REF!="Moderado"),CONCATENATE("R",'Mapa final'!#REF!),"")</f>
        <v>#REF!</v>
      </c>
      <c r="W44" s="213"/>
      <c r="X44" s="231" t="e">
        <f>IF(AND('Mapa final'!#REF!="Muy Baja",'Mapa final'!#REF!="Moderado"),CONCATENATE("R",'Mapa final'!#REF!),"")</f>
        <v>#REF!</v>
      </c>
      <c r="Y44" s="213"/>
      <c r="Z44" s="231" t="str">
        <f>IF(AND('Mapa final'!$H$37="Muy Baja",'Mapa final'!$L$37="Moderado"),CONCATENATE("R",'Mapa final'!$A$37),"")</f>
        <v/>
      </c>
      <c r="AA44" s="209"/>
      <c r="AB44" s="220" t="e">
        <f>IF(AND('Mapa final'!#REF!="Muy Baja",'Mapa final'!#REF!="Mayor"),CONCATENATE("R",'Mapa final'!#REF!),"")</f>
        <v>#REF!</v>
      </c>
      <c r="AC44" s="213"/>
      <c r="AD44" s="208" t="e">
        <f>IF(AND('Mapa final'!#REF!="Muy Baja",'Mapa final'!#REF!="Mayor"),CONCATENATE("R",'Mapa final'!#REF!),"")</f>
        <v>#REF!</v>
      </c>
      <c r="AE44" s="213"/>
      <c r="AF44" s="208" t="str">
        <f>IF(AND('Mapa final'!$H$37="Muy Baja",'Mapa final'!$L$37="Mayor"),CONCATENATE("R",'Mapa final'!$A$37),"")</f>
        <v/>
      </c>
      <c r="AG44" s="209"/>
      <c r="AH44" s="212" t="e">
        <f>IF(AND('Mapa final'!#REF!="Muy Baja",'Mapa final'!#REF!="Catastrófico"),CONCATENATE("R",'Mapa final'!#REF!),"")</f>
        <v>#REF!</v>
      </c>
      <c r="AI44" s="213"/>
      <c r="AJ44" s="216" t="e">
        <f>IF(AND('Mapa final'!#REF!="Muy Baja",'Mapa final'!#REF!="Catastrófico"),CONCATENATE("R",'Mapa final'!#REF!),"")</f>
        <v>#REF!</v>
      </c>
      <c r="AK44" s="213"/>
      <c r="AL44" s="216" t="str">
        <f>IF(AND('Mapa final'!$H$37="Muy Baja",'Mapa final'!$L$37="Catastrófico"),CONCATENATE("R",'Mapa final'!$A$37),"")</f>
        <v/>
      </c>
      <c r="AM44" s="209"/>
      <c r="AN44" s="1"/>
      <c r="AO44" s="1"/>
      <c r="AP44" s="1"/>
      <c r="AQ44" s="1"/>
      <c r="AR44" s="1"/>
      <c r="AS44" s="1"/>
      <c r="AT44" s="1"/>
    </row>
    <row r="45" spans="2:46" ht="15.75" customHeight="1" x14ac:dyDescent="0.25">
      <c r="B45" s="210"/>
      <c r="C45" s="255"/>
      <c r="D45" s="211"/>
      <c r="E45" s="222"/>
      <c r="F45" s="246"/>
      <c r="G45" s="246"/>
      <c r="H45" s="246"/>
      <c r="I45" s="225"/>
      <c r="J45" s="222"/>
      <c r="K45" s="223"/>
      <c r="L45" s="224"/>
      <c r="M45" s="223"/>
      <c r="N45" s="224"/>
      <c r="O45" s="225"/>
      <c r="P45" s="222"/>
      <c r="Q45" s="223"/>
      <c r="R45" s="224"/>
      <c r="S45" s="223"/>
      <c r="T45" s="224"/>
      <c r="U45" s="225"/>
      <c r="V45" s="222"/>
      <c r="W45" s="223"/>
      <c r="X45" s="224"/>
      <c r="Y45" s="223"/>
      <c r="Z45" s="224"/>
      <c r="AA45" s="225"/>
      <c r="AB45" s="222"/>
      <c r="AC45" s="223"/>
      <c r="AD45" s="224"/>
      <c r="AE45" s="223"/>
      <c r="AF45" s="224"/>
      <c r="AG45" s="225"/>
      <c r="AH45" s="222"/>
      <c r="AI45" s="223"/>
      <c r="AJ45" s="224"/>
      <c r="AK45" s="223"/>
      <c r="AL45" s="224"/>
      <c r="AM45" s="225"/>
      <c r="AN45" s="1"/>
      <c r="AO45" s="1"/>
      <c r="AP45" s="1"/>
      <c r="AQ45" s="1"/>
      <c r="AR45" s="1"/>
      <c r="AS45" s="1"/>
      <c r="AT45" s="1"/>
    </row>
    <row r="46" spans="2:46" ht="15.75" customHeight="1" x14ac:dyDescent="0.25">
      <c r="B46" s="1"/>
      <c r="C46" s="1"/>
      <c r="D46" s="1"/>
      <c r="E46" s="1"/>
      <c r="F46" s="1"/>
      <c r="G46" s="1"/>
      <c r="H46" s="1"/>
      <c r="I46" s="1"/>
      <c r="J46" s="244" t="s">
        <v>90</v>
      </c>
      <c r="K46" s="245"/>
      <c r="L46" s="245"/>
      <c r="M46" s="245"/>
      <c r="N46" s="245"/>
      <c r="O46" s="227"/>
      <c r="P46" s="244" t="s">
        <v>91</v>
      </c>
      <c r="Q46" s="245"/>
      <c r="R46" s="245"/>
      <c r="S46" s="245"/>
      <c r="T46" s="245"/>
      <c r="U46" s="227"/>
      <c r="V46" s="244" t="s">
        <v>92</v>
      </c>
      <c r="W46" s="245"/>
      <c r="X46" s="245"/>
      <c r="Y46" s="245"/>
      <c r="Z46" s="245"/>
      <c r="AA46" s="227"/>
      <c r="AB46" s="244" t="s">
        <v>93</v>
      </c>
      <c r="AC46" s="245"/>
      <c r="AD46" s="245"/>
      <c r="AE46" s="245"/>
      <c r="AF46" s="245"/>
      <c r="AG46" s="227"/>
      <c r="AH46" s="244" t="s">
        <v>94</v>
      </c>
      <c r="AI46" s="245"/>
      <c r="AJ46" s="245"/>
      <c r="AK46" s="245"/>
      <c r="AL46" s="245"/>
      <c r="AM46" s="227"/>
      <c r="AN46" s="1"/>
      <c r="AO46" s="1"/>
      <c r="AP46" s="1"/>
      <c r="AQ46" s="1"/>
      <c r="AR46" s="1"/>
      <c r="AS46" s="1"/>
      <c r="AT46" s="1"/>
    </row>
    <row r="47" spans="2:46" ht="15.75" customHeight="1" x14ac:dyDescent="0.25">
      <c r="B47" s="1"/>
      <c r="C47" s="1"/>
      <c r="D47" s="1"/>
      <c r="E47" s="1"/>
      <c r="F47" s="1"/>
      <c r="G47" s="1"/>
      <c r="H47" s="1"/>
      <c r="I47" s="1"/>
      <c r="J47" s="188"/>
      <c r="K47" s="176"/>
      <c r="L47" s="176"/>
      <c r="M47" s="176"/>
      <c r="N47" s="176"/>
      <c r="O47" s="177"/>
      <c r="P47" s="188"/>
      <c r="Q47" s="176"/>
      <c r="R47" s="176"/>
      <c r="S47" s="176"/>
      <c r="T47" s="176"/>
      <c r="U47" s="177"/>
      <c r="V47" s="188"/>
      <c r="W47" s="176"/>
      <c r="X47" s="176"/>
      <c r="Y47" s="176"/>
      <c r="Z47" s="176"/>
      <c r="AA47" s="177"/>
      <c r="AB47" s="188"/>
      <c r="AC47" s="176"/>
      <c r="AD47" s="176"/>
      <c r="AE47" s="176"/>
      <c r="AF47" s="176"/>
      <c r="AG47" s="177"/>
      <c r="AH47" s="188"/>
      <c r="AI47" s="176"/>
      <c r="AJ47" s="176"/>
      <c r="AK47" s="176"/>
      <c r="AL47" s="176"/>
      <c r="AM47" s="177"/>
      <c r="AN47" s="1"/>
      <c r="AO47" s="1"/>
      <c r="AP47" s="1"/>
      <c r="AQ47" s="1"/>
      <c r="AR47" s="1"/>
      <c r="AS47" s="1"/>
      <c r="AT47" s="1"/>
    </row>
    <row r="48" spans="2:46" ht="15.75" customHeight="1" x14ac:dyDescent="0.25">
      <c r="B48" s="1"/>
      <c r="C48" s="1"/>
      <c r="D48" s="1"/>
      <c r="E48" s="1"/>
      <c r="F48" s="1"/>
      <c r="G48" s="1"/>
      <c r="H48" s="1"/>
      <c r="I48" s="1"/>
      <c r="J48" s="188"/>
      <c r="K48" s="176"/>
      <c r="L48" s="176"/>
      <c r="M48" s="176"/>
      <c r="N48" s="176"/>
      <c r="O48" s="177"/>
      <c r="P48" s="188"/>
      <c r="Q48" s="176"/>
      <c r="R48" s="176"/>
      <c r="S48" s="176"/>
      <c r="T48" s="176"/>
      <c r="U48" s="177"/>
      <c r="V48" s="188"/>
      <c r="W48" s="176"/>
      <c r="X48" s="176"/>
      <c r="Y48" s="176"/>
      <c r="Z48" s="176"/>
      <c r="AA48" s="177"/>
      <c r="AB48" s="188"/>
      <c r="AC48" s="176"/>
      <c r="AD48" s="176"/>
      <c r="AE48" s="176"/>
      <c r="AF48" s="176"/>
      <c r="AG48" s="177"/>
      <c r="AH48" s="188"/>
      <c r="AI48" s="176"/>
      <c r="AJ48" s="176"/>
      <c r="AK48" s="176"/>
      <c r="AL48" s="176"/>
      <c r="AM48" s="177"/>
      <c r="AN48" s="1"/>
      <c r="AO48" s="1"/>
      <c r="AP48" s="1"/>
      <c r="AQ48" s="1"/>
      <c r="AR48" s="1"/>
      <c r="AS48" s="1"/>
      <c r="AT48" s="1"/>
    </row>
    <row r="49" spans="2:39" ht="15.75" customHeight="1" x14ac:dyDescent="0.25">
      <c r="B49" s="1"/>
      <c r="C49" s="1"/>
      <c r="D49" s="1"/>
      <c r="E49" s="1"/>
      <c r="F49" s="1"/>
      <c r="G49" s="1"/>
      <c r="H49" s="1"/>
      <c r="I49" s="1"/>
      <c r="J49" s="188"/>
      <c r="K49" s="176"/>
      <c r="L49" s="176"/>
      <c r="M49" s="176"/>
      <c r="N49" s="176"/>
      <c r="O49" s="177"/>
      <c r="P49" s="188"/>
      <c r="Q49" s="176"/>
      <c r="R49" s="176"/>
      <c r="S49" s="176"/>
      <c r="T49" s="176"/>
      <c r="U49" s="177"/>
      <c r="V49" s="188"/>
      <c r="W49" s="176"/>
      <c r="X49" s="176"/>
      <c r="Y49" s="176"/>
      <c r="Z49" s="176"/>
      <c r="AA49" s="177"/>
      <c r="AB49" s="188"/>
      <c r="AC49" s="176"/>
      <c r="AD49" s="176"/>
      <c r="AE49" s="176"/>
      <c r="AF49" s="176"/>
      <c r="AG49" s="177"/>
      <c r="AH49" s="188"/>
      <c r="AI49" s="176"/>
      <c r="AJ49" s="176"/>
      <c r="AK49" s="176"/>
      <c r="AL49" s="176"/>
      <c r="AM49" s="177"/>
    </row>
    <row r="50" spans="2:39" ht="15.75" customHeight="1" x14ac:dyDescent="0.25">
      <c r="B50" s="1"/>
      <c r="C50" s="1"/>
      <c r="D50" s="1"/>
      <c r="E50" s="1"/>
      <c r="F50" s="1"/>
      <c r="G50" s="1"/>
      <c r="H50" s="1"/>
      <c r="I50" s="1"/>
      <c r="J50" s="188"/>
      <c r="K50" s="176"/>
      <c r="L50" s="176"/>
      <c r="M50" s="176"/>
      <c r="N50" s="176"/>
      <c r="O50" s="177"/>
      <c r="P50" s="188"/>
      <c r="Q50" s="176"/>
      <c r="R50" s="176"/>
      <c r="S50" s="176"/>
      <c r="T50" s="176"/>
      <c r="U50" s="177"/>
      <c r="V50" s="188"/>
      <c r="W50" s="176"/>
      <c r="X50" s="176"/>
      <c r="Y50" s="176"/>
      <c r="Z50" s="176"/>
      <c r="AA50" s="177"/>
      <c r="AB50" s="188"/>
      <c r="AC50" s="176"/>
      <c r="AD50" s="176"/>
      <c r="AE50" s="176"/>
      <c r="AF50" s="176"/>
      <c r="AG50" s="177"/>
      <c r="AH50" s="188"/>
      <c r="AI50" s="176"/>
      <c r="AJ50" s="176"/>
      <c r="AK50" s="176"/>
      <c r="AL50" s="176"/>
      <c r="AM50" s="177"/>
    </row>
    <row r="51" spans="2:39" ht="15.75" customHeight="1" x14ac:dyDescent="0.25">
      <c r="B51" s="1"/>
      <c r="C51" s="1"/>
      <c r="D51" s="1"/>
      <c r="E51" s="1"/>
      <c r="F51" s="1"/>
      <c r="G51" s="1"/>
      <c r="H51" s="1"/>
      <c r="I51" s="1"/>
      <c r="J51" s="222"/>
      <c r="K51" s="246"/>
      <c r="L51" s="246"/>
      <c r="M51" s="246"/>
      <c r="N51" s="246"/>
      <c r="O51" s="225"/>
      <c r="P51" s="222"/>
      <c r="Q51" s="246"/>
      <c r="R51" s="246"/>
      <c r="S51" s="246"/>
      <c r="T51" s="246"/>
      <c r="U51" s="225"/>
      <c r="V51" s="222"/>
      <c r="W51" s="246"/>
      <c r="X51" s="246"/>
      <c r="Y51" s="246"/>
      <c r="Z51" s="246"/>
      <c r="AA51" s="225"/>
      <c r="AB51" s="222"/>
      <c r="AC51" s="246"/>
      <c r="AD51" s="246"/>
      <c r="AE51" s="246"/>
      <c r="AF51" s="246"/>
      <c r="AG51" s="225"/>
      <c r="AH51" s="222"/>
      <c r="AI51" s="246"/>
      <c r="AJ51" s="246"/>
      <c r="AK51" s="246"/>
      <c r="AL51" s="246"/>
      <c r="AM51" s="225"/>
    </row>
  </sheetData>
  <sheetProtection sheet="1" objects="1" scenarios="1"/>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1"/>
  <sheetViews>
    <sheetView zoomScale="50" zoomScaleNormal="50" workbookViewId="0">
      <selection activeCell="AA6" sqref="AA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262" t="s">
        <v>95</v>
      </c>
      <c r="C2" s="176"/>
      <c r="D2" s="176"/>
      <c r="E2" s="176"/>
      <c r="F2" s="176"/>
      <c r="G2" s="176"/>
      <c r="H2" s="176"/>
      <c r="I2" s="176"/>
      <c r="J2" s="251" t="s">
        <v>14</v>
      </c>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13"/>
      <c r="AN2" s="1"/>
      <c r="AO2" s="1"/>
      <c r="AP2" s="1"/>
      <c r="AQ2" s="1"/>
      <c r="AR2" s="1"/>
      <c r="AS2" s="1"/>
      <c r="AT2" s="1"/>
    </row>
    <row r="3" spans="2:46" ht="18.75" customHeight="1" x14ac:dyDescent="0.25">
      <c r="B3" s="176"/>
      <c r="C3" s="176"/>
      <c r="D3" s="176"/>
      <c r="E3" s="176"/>
      <c r="F3" s="176"/>
      <c r="G3" s="176"/>
      <c r="H3" s="176"/>
      <c r="I3" s="176"/>
      <c r="J3" s="253"/>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254"/>
      <c r="AN3" s="1"/>
      <c r="AO3" s="1"/>
      <c r="AP3" s="1"/>
      <c r="AQ3" s="1"/>
      <c r="AR3" s="1"/>
      <c r="AS3" s="1"/>
      <c r="AT3" s="1"/>
    </row>
    <row r="4" spans="2:46" ht="15" customHeight="1" x14ac:dyDescent="0.25">
      <c r="B4" s="176"/>
      <c r="C4" s="176"/>
      <c r="D4" s="176"/>
      <c r="E4" s="176"/>
      <c r="F4" s="176"/>
      <c r="G4" s="176"/>
      <c r="H4" s="176"/>
      <c r="I4" s="176"/>
      <c r="J4" s="210"/>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15"/>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256" t="s">
        <v>80</v>
      </c>
      <c r="C6" s="252"/>
      <c r="D6" s="209"/>
      <c r="E6" s="261" t="s">
        <v>81</v>
      </c>
      <c r="F6" s="245"/>
      <c r="G6" s="245"/>
      <c r="H6" s="245"/>
      <c r="I6" s="227"/>
      <c r="J6" s="15" t="str">
        <f>IF(AND('Mapa final'!$Y$15="Muy Alta",'Mapa final'!$AA$15="Leve"),CONCATENATE("R1C",'Mapa final'!$O$15),"")</f>
        <v/>
      </c>
      <c r="K6" s="16" t="str">
        <f>IF(AND('Mapa final'!$Y$16="Muy Alta",'Mapa final'!$AA$16="Leve"),CONCATENATE("R1C",'Mapa final'!$O$16),"")</f>
        <v/>
      </c>
      <c r="L6" s="16" t="str">
        <f>IF(AND('Mapa final'!$Y$17="Muy Alta",'Mapa final'!$AA$17="Leve"),CONCATENATE("R1C",'Mapa final'!$O$17),"")</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final'!$Y$15="Muy Alta",'Mapa final'!$AA$15="Menor"),CONCATENATE("R1C",'Mapa final'!$O$15),"")</f>
        <v/>
      </c>
      <c r="Q6" s="16" t="str">
        <f>IF(AND('Mapa final'!$Y$16="Muy Alta",'Mapa final'!$AA$16="Menor"),CONCATENATE("R1C",'Mapa final'!$O$16),"")</f>
        <v/>
      </c>
      <c r="R6" s="16" t="str">
        <f>IF(AND('Mapa final'!$Y$17="Muy Alta",'Mapa final'!$AA$17="Menor"),CONCATENATE("R1C",'Mapa final'!$O$17),"")</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final'!$Y$15="Muy Alta",'Mapa final'!$AA$15="Moderado"),CONCATENATE("R1C",'Mapa final'!$O$15),"")</f>
        <v/>
      </c>
      <c r="W6" s="16" t="str">
        <f>IF(AND('Mapa final'!$Y$16="Muy Alta",'Mapa final'!$AA$16="Moderado"),CONCATENATE("R1C",'Mapa final'!$O$16),"")</f>
        <v/>
      </c>
      <c r="X6" s="16" t="str">
        <f>IF(AND('Mapa final'!$Y$17="Muy Alta",'Mapa final'!$AA$17="Moderado"),CONCATENATE("R1C",'Mapa final'!$O$17),"")</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final'!$Y$15="Muy Alta",'Mapa final'!$AA$15="Mayor"),CONCATENATE("R1C",'Mapa final'!$O$15),"")</f>
        <v/>
      </c>
      <c r="AC6" s="16" t="str">
        <f>IF(AND('Mapa final'!$Y$16="Muy Alta",'Mapa final'!$AA$16="Mayor"),CONCATENATE("R1C",'Mapa final'!$O$16),"")</f>
        <v/>
      </c>
      <c r="AD6" s="16" t="str">
        <f>IF(AND('Mapa final'!$Y$17="Muy Alta",'Mapa final'!$AA$17="Mayor"),CONCATENATE("R1C",'Mapa final'!$O$17),"")</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final'!$Y$15="Muy Alta",'Mapa final'!$AA$15="Catastrófico"),CONCATENATE("R1C",'Mapa final'!$O$15),"")</f>
        <v/>
      </c>
      <c r="AI6" s="19" t="str">
        <f>IF(AND('Mapa final'!$Y$16="Muy Alta",'Mapa final'!$AA$16="Catastrófico"),CONCATENATE("R1C",'Mapa final'!$O$16),"")</f>
        <v/>
      </c>
      <c r="AJ6" s="19" t="str">
        <f>IF(AND('Mapa final'!$Y$17="Muy Alta",'Mapa final'!$AA$17="Catastrófico"),CONCATENATE("R1C",'Mapa final'!$O$17),"")</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259" t="s">
        <v>82</v>
      </c>
      <c r="AP6" s="234"/>
      <c r="AQ6" s="234"/>
      <c r="AR6" s="234"/>
      <c r="AS6" s="234"/>
      <c r="AT6" s="235"/>
    </row>
    <row r="7" spans="2:46" ht="15" customHeight="1" x14ac:dyDescent="0.25">
      <c r="B7" s="253"/>
      <c r="C7" s="176"/>
      <c r="D7" s="177"/>
      <c r="E7" s="188"/>
      <c r="F7" s="176"/>
      <c r="G7" s="176"/>
      <c r="H7" s="176"/>
      <c r="I7" s="177"/>
      <c r="J7" s="21" t="str">
        <f>IF(AND('Mapa final'!$Y$18="Muy Alta",'Mapa final'!$AA$18="Leve"),CONCATENATE("R2C",'Mapa final'!$O$18),"")</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final'!$Y$19="Muy Alta",'Mapa final'!$AA$19="Leve"),CONCATENATE("R2C",'Mapa final'!$O$19),"")</f>
        <v/>
      </c>
      <c r="O7" s="23" t="str">
        <f>IF(AND('Mapa final'!$Y$20="Muy Alta",'Mapa final'!$AA$20="Leve"),CONCATENATE("R2C",'Mapa final'!$O$20),"")</f>
        <v/>
      </c>
      <c r="P7" s="21" t="str">
        <f>IF(AND('Mapa final'!$Y$18="Muy Alta",'Mapa final'!$AA$18="Menor"),CONCATENATE("R2C",'Mapa final'!$O$18),"")</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final'!$Y$19="Muy Alta",'Mapa final'!$AA$19="Menor"),CONCATENATE("R2C",'Mapa final'!$O$19),"")</f>
        <v/>
      </c>
      <c r="U7" s="23" t="str">
        <f>IF(AND('Mapa final'!$Y$20="Muy Alta",'Mapa final'!$AA$20="Menor"),CONCATENATE("R2C",'Mapa final'!$O$20),"")</f>
        <v/>
      </c>
      <c r="V7" s="21" t="str">
        <f>IF(AND('Mapa final'!$Y$18="Muy Alta",'Mapa final'!$AA$18="Moderado"),CONCATENATE("R2C",'Mapa final'!$O$18),"")</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final'!$Y$19="Muy Alta",'Mapa final'!$AA$19="Moderado"),CONCATENATE("R2C",'Mapa final'!$O$19),"")</f>
        <v/>
      </c>
      <c r="AA7" s="23" t="str">
        <f>IF(AND('Mapa final'!$Y$20="Muy Alta",'Mapa final'!$AA$20="Moderado"),CONCATENATE("R2C",'Mapa final'!$O$20),"")</f>
        <v/>
      </c>
      <c r="AB7" s="21" t="str">
        <f>IF(AND('Mapa final'!$Y$18="Muy Alta",'Mapa final'!$AA$18="Mayor"),CONCATENATE("R2C",'Mapa final'!$O$18),"")</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final'!$Y$19="Muy Alta",'Mapa final'!$AA$19="Mayor"),CONCATENATE("R2C",'Mapa final'!$O$19),"")</f>
        <v/>
      </c>
      <c r="AG7" s="23" t="str">
        <f>IF(AND('Mapa final'!$Y$20="Muy Alta",'Mapa final'!$AA$20="Mayor"),CONCATENATE("R2C",'Mapa final'!$O$20),"")</f>
        <v/>
      </c>
      <c r="AH7" s="24" t="str">
        <f>IF(AND('Mapa final'!$Y$18="Muy Alta",'Mapa final'!$AA$18="Catastrófico"),CONCATENATE("R2C",'Mapa final'!$O$18),"")</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final'!$Y$19="Muy Alta",'Mapa final'!$AA$19="Catastrófico"),CONCATENATE("R2C",'Mapa final'!$O$19),"")</f>
        <v/>
      </c>
      <c r="AM7" s="26" t="str">
        <f>IF(AND('Mapa final'!$Y$20="Muy Alta",'Mapa final'!$AA$20="Catastrófico"),CONCATENATE("R2C",'Mapa final'!$O$20),"")</f>
        <v/>
      </c>
      <c r="AN7" s="1"/>
      <c r="AO7" s="236"/>
      <c r="AP7" s="176"/>
      <c r="AQ7" s="176"/>
      <c r="AR7" s="176"/>
      <c r="AS7" s="176"/>
      <c r="AT7" s="237"/>
    </row>
    <row r="8" spans="2:46" ht="15" customHeight="1" x14ac:dyDescent="0.25">
      <c r="B8" s="253"/>
      <c r="C8" s="176"/>
      <c r="D8" s="177"/>
      <c r="E8" s="188"/>
      <c r="F8" s="176"/>
      <c r="G8" s="176"/>
      <c r="H8" s="176"/>
      <c r="I8" s="177"/>
      <c r="J8" s="21" t="str">
        <f>IF(AND('Mapa final'!$Y$21="Muy Alta",'Mapa final'!$AA$21="Leve"),CONCATENATE("R3C",'Mapa final'!$O$21),"")</f>
        <v/>
      </c>
      <c r="K8" s="22" t="str">
        <f>IF(AND('Mapa final'!$Y$22="Muy Alta",'Mapa final'!$AA$22="Leve"),CONCATENATE("R3C",'Mapa final'!$O$22),"")</f>
        <v/>
      </c>
      <c r="L8" s="22" t="str">
        <f>IF(AND('Mapa final'!$Y$23="Muy Alta",'Mapa final'!$AA$23="Leve"),CONCATENATE("R3C",'Mapa final'!$O$23),"")</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final'!$Y$21="Muy Alta",'Mapa final'!$AA$21="Menor"),CONCATENATE("R3C",'Mapa final'!$O$21),"")</f>
        <v/>
      </c>
      <c r="Q8" s="22" t="str">
        <f>IF(AND('Mapa final'!$Y$22="Muy Alta",'Mapa final'!$AA$22="Menor"),CONCATENATE("R3C",'Mapa final'!$O$22),"")</f>
        <v/>
      </c>
      <c r="R8" s="22" t="str">
        <f>IF(AND('Mapa final'!$Y$23="Muy Alta",'Mapa final'!$AA$23="Menor"),CONCATENATE("R3C",'Mapa final'!$O$23),"")</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final'!$Y$21="Muy Alta",'Mapa final'!$AA$21="Moderado"),CONCATENATE("R3C",'Mapa final'!$O$21),"")</f>
        <v/>
      </c>
      <c r="W8" s="22" t="str">
        <f>IF(AND('Mapa final'!$Y$22="Muy Alta",'Mapa final'!$AA$22="Moderado"),CONCATENATE("R3C",'Mapa final'!$O$22),"")</f>
        <v/>
      </c>
      <c r="X8" s="22" t="str">
        <f>IF(AND('Mapa final'!$Y$23="Muy Alta",'Mapa final'!$AA$23="Moderado"),CONCATENATE("R3C",'Mapa final'!$O$23),"")</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final'!$Y$21="Muy Alta",'Mapa final'!$AA$21="Mayor"),CONCATENATE("R3C",'Mapa final'!$O$21),"")</f>
        <v/>
      </c>
      <c r="AC8" s="22" t="str">
        <f>IF(AND('Mapa final'!$Y$22="Muy Alta",'Mapa final'!$AA$22="Mayor"),CONCATENATE("R3C",'Mapa final'!$O$22),"")</f>
        <v/>
      </c>
      <c r="AD8" s="22" t="str">
        <f>IF(AND('Mapa final'!$Y$23="Muy Alta",'Mapa final'!$AA$23="Mayor"),CONCATENATE("R3C",'Mapa final'!$O$23),"")</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final'!$Y$21="Muy Alta",'Mapa final'!$AA$21="Catastrófico"),CONCATENATE("R3C",'Mapa final'!$O$21),"")</f>
        <v/>
      </c>
      <c r="AI8" s="25" t="str">
        <f>IF(AND('Mapa final'!$Y$22="Muy Alta",'Mapa final'!$AA$22="Catastrófico"),CONCATENATE("R3C",'Mapa final'!$O$22),"")</f>
        <v/>
      </c>
      <c r="AJ8" s="25" t="str">
        <f>IF(AND('Mapa final'!$Y$23="Muy Alta",'Mapa final'!$AA$23="Catastrófico"),CONCATENATE("R3C",'Mapa final'!$O$23),"")</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36"/>
      <c r="AP8" s="176"/>
      <c r="AQ8" s="176"/>
      <c r="AR8" s="176"/>
      <c r="AS8" s="176"/>
      <c r="AT8" s="237"/>
    </row>
    <row r="9" spans="2:46" ht="15" customHeight="1" x14ac:dyDescent="0.25">
      <c r="B9" s="253"/>
      <c r="C9" s="176"/>
      <c r="D9" s="177"/>
      <c r="E9" s="188"/>
      <c r="F9" s="176"/>
      <c r="G9" s="176"/>
      <c r="H9" s="176"/>
      <c r="I9" s="177"/>
      <c r="J9" s="21" t="str">
        <f>IF(AND('Mapa final'!$Y$24="Muy Alta",'Mapa final'!$AA$24="Leve"),CONCATENATE("R4C",'Mapa final'!$O$24),"")</f>
        <v/>
      </c>
      <c r="K9" s="22" t="str">
        <f>IF(AND('Mapa final'!$Y$25="Muy Alta",'Mapa final'!$AA$25="Leve"),CONCATENATE("R4C",'Mapa final'!$O$25),"")</f>
        <v/>
      </c>
      <c r="L9" s="22" t="e">
        <f>IF(AND('Mapa final'!#REF!="Muy Alta",'Mapa final'!#REF!="Leve"),CONCATENATE("R4C",'Mapa final'!#REF!),"")</f>
        <v>#REF!</v>
      </c>
      <c r="M9" s="22" t="str">
        <f>IF(AND('Mapa final'!$Y$26="Muy Alta",'Mapa final'!$AA$26="Leve"),CONCATENATE("R4C",'Mapa final'!$O$26),"")</f>
        <v/>
      </c>
      <c r="N9" s="22" t="e">
        <f>IF(AND('Mapa final'!#REF!="Muy Alta",'Mapa final'!#REF!="Leve"),CONCATENATE("R4C",'Mapa final'!#REF!),"")</f>
        <v>#REF!</v>
      </c>
      <c r="O9" s="23" t="e">
        <f>IF(AND('Mapa final'!#REF!="Muy Alta",'Mapa final'!#REF!="Leve"),CONCATENATE("R4C",'Mapa final'!#REF!),"")</f>
        <v>#REF!</v>
      </c>
      <c r="P9" s="21" t="str">
        <f>IF(AND('Mapa final'!$Y$24="Muy Alta",'Mapa final'!$AA$24="Menor"),CONCATENATE("R4C",'Mapa final'!$O$24),"")</f>
        <v/>
      </c>
      <c r="Q9" s="22" t="str">
        <f>IF(AND('Mapa final'!$Y$25="Muy Alta",'Mapa final'!$AA$25="Menor"),CONCATENATE("R4C",'Mapa final'!$O$25),"")</f>
        <v/>
      </c>
      <c r="R9" s="22" t="e">
        <f>IF(AND('Mapa final'!#REF!="Muy Alta",'Mapa final'!#REF!="Menor"),CONCATENATE("R4C",'Mapa final'!#REF!),"")</f>
        <v>#REF!</v>
      </c>
      <c r="S9" s="22" t="str">
        <f>IF(AND('Mapa final'!$Y$26="Muy Alta",'Mapa final'!$AA$26="Menor"),CONCATENATE("R4C",'Mapa final'!$O$26),"")</f>
        <v/>
      </c>
      <c r="T9" s="22" t="e">
        <f>IF(AND('Mapa final'!#REF!="Muy Alta",'Mapa final'!#REF!="Menor"),CONCATENATE("R4C",'Mapa final'!#REF!),"")</f>
        <v>#REF!</v>
      </c>
      <c r="U9" s="23" t="e">
        <f>IF(AND('Mapa final'!#REF!="Muy Alta",'Mapa final'!#REF!="Menor"),CONCATENATE("R4C",'Mapa final'!#REF!),"")</f>
        <v>#REF!</v>
      </c>
      <c r="V9" s="21" t="str">
        <f>IF(AND('Mapa final'!$Y$24="Muy Alta",'Mapa final'!$AA$24="Moderado"),CONCATENATE("R4C",'Mapa final'!$O$24),"")</f>
        <v/>
      </c>
      <c r="W9" s="22" t="str">
        <f>IF(AND('Mapa final'!$Y$25="Muy Alta",'Mapa final'!$AA$25="Moderado"),CONCATENATE("R4C",'Mapa final'!$O$25),"")</f>
        <v/>
      </c>
      <c r="X9" s="22" t="e">
        <f>IF(AND('Mapa final'!#REF!="Muy Alta",'Mapa final'!#REF!="Moderado"),CONCATENATE("R4C",'Mapa final'!#REF!),"")</f>
        <v>#REF!</v>
      </c>
      <c r="Y9" s="22" t="str">
        <f>IF(AND('Mapa final'!$Y$26="Muy Alta",'Mapa final'!$AA$26="Moderado"),CONCATENATE("R4C",'Mapa final'!$O$26),"")</f>
        <v/>
      </c>
      <c r="Z9" s="22" t="e">
        <f>IF(AND('Mapa final'!#REF!="Muy Alta",'Mapa final'!#REF!="Moderado"),CONCATENATE("R4C",'Mapa final'!#REF!),"")</f>
        <v>#REF!</v>
      </c>
      <c r="AA9" s="23" t="e">
        <f>IF(AND('Mapa final'!#REF!="Muy Alta",'Mapa final'!#REF!="Moderado"),CONCATENATE("R4C",'Mapa final'!#REF!),"")</f>
        <v>#REF!</v>
      </c>
      <c r="AB9" s="21" t="str">
        <f>IF(AND('Mapa final'!$Y$24="Muy Alta",'Mapa final'!$AA$24="Mayor"),CONCATENATE("R4C",'Mapa final'!$O$24),"")</f>
        <v/>
      </c>
      <c r="AC9" s="22" t="str">
        <f>IF(AND('Mapa final'!$Y$25="Muy Alta",'Mapa final'!$AA$25="Mayor"),CONCATENATE("R4C",'Mapa final'!$O$25),"")</f>
        <v/>
      </c>
      <c r="AD9" s="22" t="e">
        <f>IF(AND('Mapa final'!#REF!="Muy Alta",'Mapa final'!#REF!="Mayor"),CONCATENATE("R4C",'Mapa final'!#REF!),"")</f>
        <v>#REF!</v>
      </c>
      <c r="AE9" s="22" t="str">
        <f>IF(AND('Mapa final'!$Y$26="Muy Alta",'Mapa final'!$AA$26="Mayor"),CONCATENATE("R4C",'Mapa final'!$O$26),"")</f>
        <v/>
      </c>
      <c r="AF9" s="22" t="e">
        <f>IF(AND('Mapa final'!#REF!="Muy Alta",'Mapa final'!#REF!="Mayor"),CONCATENATE("R4C",'Mapa final'!#REF!),"")</f>
        <v>#REF!</v>
      </c>
      <c r="AG9" s="23" t="e">
        <f>IF(AND('Mapa final'!#REF!="Muy Alta",'Mapa final'!#REF!="Mayor"),CONCATENATE("R4C",'Mapa final'!#REF!),"")</f>
        <v>#REF!</v>
      </c>
      <c r="AH9" s="24" t="str">
        <f>IF(AND('Mapa final'!$Y$24="Muy Alta",'Mapa final'!$AA$24="Catastrófico"),CONCATENATE("R4C",'Mapa final'!$O$24),"")</f>
        <v/>
      </c>
      <c r="AI9" s="25" t="str">
        <f>IF(AND('Mapa final'!$Y$25="Muy Alta",'Mapa final'!$AA$25="Catastrófico"),CONCATENATE("R4C",'Mapa final'!$O$25),"")</f>
        <v/>
      </c>
      <c r="AJ9" s="25" t="e">
        <f>IF(AND('Mapa final'!#REF!="Muy Alta",'Mapa final'!#REF!="Catastrófico"),CONCATENATE("R4C",'Mapa final'!#REF!),"")</f>
        <v>#REF!</v>
      </c>
      <c r="AK9" s="25" t="str">
        <f>IF(AND('Mapa final'!$Y$26="Muy Alta",'Mapa final'!$AA$26="Catastrófico"),CONCATENATE("R4C",'Mapa final'!$O$26),"")</f>
        <v/>
      </c>
      <c r="AL9" s="25" t="e">
        <f>IF(AND('Mapa final'!#REF!="Muy Alta",'Mapa final'!#REF!="Catastrófico"),CONCATENATE("R4C",'Mapa final'!#REF!),"")</f>
        <v>#REF!</v>
      </c>
      <c r="AM9" s="26" t="e">
        <f>IF(AND('Mapa final'!#REF!="Muy Alta",'Mapa final'!#REF!="Catastrófico"),CONCATENATE("R4C",'Mapa final'!#REF!),"")</f>
        <v>#REF!</v>
      </c>
      <c r="AN9" s="1"/>
      <c r="AO9" s="236"/>
      <c r="AP9" s="176"/>
      <c r="AQ9" s="176"/>
      <c r="AR9" s="176"/>
      <c r="AS9" s="176"/>
      <c r="AT9" s="237"/>
    </row>
    <row r="10" spans="2:46" ht="15" customHeight="1" x14ac:dyDescent="0.25">
      <c r="B10" s="253"/>
      <c r="C10" s="176"/>
      <c r="D10" s="177"/>
      <c r="E10" s="188"/>
      <c r="F10" s="176"/>
      <c r="G10" s="176"/>
      <c r="H10" s="176"/>
      <c r="I10" s="177"/>
      <c r="J10" s="21" t="str">
        <f>IF(AND('Mapa final'!$Y$27="Muy Alta",'Mapa final'!$AA$27="Leve"),CONCATENATE("R5C",'Mapa final'!$O$27),"")</f>
        <v/>
      </c>
      <c r="K10" s="22" t="str">
        <f>IF(AND('Mapa final'!$Y$28="Muy Alta",'Mapa final'!$AA$28="Leve"),CONCATENATE("R5C",'Mapa final'!$O$28),"")</f>
        <v/>
      </c>
      <c r="L10" s="22" t="str">
        <f>IF(AND('Mapa final'!$Y$29="Muy Alta",'Mapa final'!$AA$29="Leve"),CONCATENATE("R5C",'Mapa final'!$O$29),"")</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final'!$Y$27="Muy Alta",'Mapa final'!$AA$27="Menor"),CONCATENATE("R5C",'Mapa final'!$O$27),"")</f>
        <v/>
      </c>
      <c r="Q10" s="22" t="str">
        <f>IF(AND('Mapa final'!$Y$28="Muy Alta",'Mapa final'!$AA$28="Menor"),CONCATENATE("R5C",'Mapa final'!$O$28),"")</f>
        <v/>
      </c>
      <c r="R10" s="22" t="str">
        <f>IF(AND('Mapa final'!$Y$29="Muy Alta",'Mapa final'!$AA$29="Menor"),CONCATENATE("R5C",'Mapa final'!$O$29),"")</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final'!$Y$27="Muy Alta",'Mapa final'!$AA$27="Moderado"),CONCATENATE("R5C",'Mapa final'!$O$27),"")</f>
        <v/>
      </c>
      <c r="W10" s="22" t="str">
        <f>IF(AND('Mapa final'!$Y$28="Muy Alta",'Mapa final'!$AA$28="Moderado"),CONCATENATE("R5C",'Mapa final'!$O$28),"")</f>
        <v/>
      </c>
      <c r="X10" s="22" t="str">
        <f>IF(AND('Mapa final'!$Y$29="Muy Alta",'Mapa final'!$AA$29="Moderado"),CONCATENATE("R5C",'Mapa final'!$O$29),"")</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final'!$Y$27="Muy Alta",'Mapa final'!$AA$27="Mayor"),CONCATENATE("R5C",'Mapa final'!$O$27),"")</f>
        <v/>
      </c>
      <c r="AC10" s="22" t="str">
        <f>IF(AND('Mapa final'!$Y$28="Muy Alta",'Mapa final'!$AA$28="Mayor"),CONCATENATE("R5C",'Mapa final'!$O$28),"")</f>
        <v/>
      </c>
      <c r="AD10" s="22" t="str">
        <f>IF(AND('Mapa final'!$Y$29="Muy Alta",'Mapa final'!$AA$29="Mayor"),CONCATENATE("R5C",'Mapa final'!$O$29),"")</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final'!$Y$27="Muy Alta",'Mapa final'!$AA$27="Catastrófico"),CONCATENATE("R5C",'Mapa final'!$O$27),"")</f>
        <v/>
      </c>
      <c r="AI10" s="25" t="str">
        <f>IF(AND('Mapa final'!$Y$28="Muy Alta",'Mapa final'!$AA$28="Catastrófico"),CONCATENATE("R5C",'Mapa final'!$O$28),"")</f>
        <v/>
      </c>
      <c r="AJ10" s="25" t="str">
        <f>IF(AND('Mapa final'!$Y$29="Muy Alta",'Mapa final'!$AA$29="Catastrófico"),CONCATENATE("R5C",'Mapa final'!$O$29),"")</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36"/>
      <c r="AP10" s="176"/>
      <c r="AQ10" s="176"/>
      <c r="AR10" s="176"/>
      <c r="AS10" s="176"/>
      <c r="AT10" s="237"/>
    </row>
    <row r="11" spans="2:46" ht="15" customHeight="1" x14ac:dyDescent="0.25">
      <c r="B11" s="253"/>
      <c r="C11" s="176"/>
      <c r="D11" s="177"/>
      <c r="E11" s="188"/>
      <c r="F11" s="176"/>
      <c r="G11" s="176"/>
      <c r="H11" s="176"/>
      <c r="I11" s="177"/>
      <c r="J11" s="21" t="str">
        <f>IF(AND('Mapa final'!$Y$30="Muy Alta",'Mapa final'!$AA$30="Leve"),CONCATENATE("R6C",'Mapa final'!$O$30),"")</f>
        <v/>
      </c>
      <c r="K11" s="22" t="str">
        <f>IF(AND('Mapa final'!$Y$31="Muy Alta",'Mapa final'!$AA$31="Leve"),CONCATENATE("R6C",'Mapa final'!$O$31),"")</f>
        <v/>
      </c>
      <c r="L11" s="22" t="str">
        <f>IF(AND('Mapa final'!$Y$32="Muy Alta",'Mapa final'!$AA$32="Leve"),CONCATENATE("R6C",'Mapa final'!$O$32),"")</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final'!$Y$30="Muy Alta",'Mapa final'!$AA$30="Menor"),CONCATENATE("R6C",'Mapa final'!$O$30),"")</f>
        <v/>
      </c>
      <c r="Q11" s="22" t="str">
        <f>IF(AND('Mapa final'!$Y$31="Muy Alta",'Mapa final'!$AA$31="Menor"),CONCATENATE("R6C",'Mapa final'!$O$31),"")</f>
        <v/>
      </c>
      <c r="R11" s="22" t="str">
        <f>IF(AND('Mapa final'!$Y$32="Muy Alta",'Mapa final'!$AA$32="Menor"),CONCATENATE("R6C",'Mapa final'!$O$32),"")</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final'!$Y$30="Muy Alta",'Mapa final'!$AA$30="Moderado"),CONCATENATE("R6C",'Mapa final'!$O$30),"")</f>
        <v/>
      </c>
      <c r="W11" s="22" t="str">
        <f>IF(AND('Mapa final'!$Y$31="Muy Alta",'Mapa final'!$AA$31="Moderado"),CONCATENATE("R6C",'Mapa final'!$O$31),"")</f>
        <v/>
      </c>
      <c r="X11" s="22" t="str">
        <f>IF(AND('Mapa final'!$Y$32="Muy Alta",'Mapa final'!$AA$32="Moderado"),CONCATENATE("R6C",'Mapa final'!$O$32),"")</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final'!$Y$30="Muy Alta",'Mapa final'!$AA$30="Mayor"),CONCATENATE("R6C",'Mapa final'!$O$30),"")</f>
        <v/>
      </c>
      <c r="AC11" s="22" t="str">
        <f>IF(AND('Mapa final'!$Y$31="Muy Alta",'Mapa final'!$AA$31="Mayor"),CONCATENATE("R6C",'Mapa final'!$O$31),"")</f>
        <v/>
      </c>
      <c r="AD11" s="22" t="str">
        <f>IF(AND('Mapa final'!$Y$32="Muy Alta",'Mapa final'!$AA$32="Mayor"),CONCATENATE("R6C",'Mapa final'!$O$32),"")</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final'!$Y$30="Muy Alta",'Mapa final'!$AA$30="Catastrófico"),CONCATENATE("R6C",'Mapa final'!$O$30),"")</f>
        <v/>
      </c>
      <c r="AI11" s="25" t="str">
        <f>IF(AND('Mapa final'!$Y$31="Muy Alta",'Mapa final'!$AA$31="Catastrófico"),CONCATENATE("R6C",'Mapa final'!$O$31),"")</f>
        <v/>
      </c>
      <c r="AJ11" s="25" t="str">
        <f>IF(AND('Mapa final'!$Y$32="Muy Alta",'Mapa final'!$AA$32="Catastrófico"),CONCATENATE("R6C",'Mapa final'!$O$32),"")</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36"/>
      <c r="AP11" s="176"/>
      <c r="AQ11" s="176"/>
      <c r="AR11" s="176"/>
      <c r="AS11" s="176"/>
      <c r="AT11" s="237"/>
    </row>
    <row r="12" spans="2:46" ht="15" customHeight="1" x14ac:dyDescent="0.25">
      <c r="B12" s="253"/>
      <c r="C12" s="176"/>
      <c r="D12" s="177"/>
      <c r="E12" s="188"/>
      <c r="F12" s="176"/>
      <c r="G12" s="176"/>
      <c r="H12" s="176"/>
      <c r="I12" s="177"/>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36"/>
      <c r="AP12" s="176"/>
      <c r="AQ12" s="176"/>
      <c r="AR12" s="176"/>
      <c r="AS12" s="176"/>
      <c r="AT12" s="237"/>
    </row>
    <row r="13" spans="2:46" ht="15" customHeight="1" x14ac:dyDescent="0.25">
      <c r="B13" s="253"/>
      <c r="C13" s="176"/>
      <c r="D13" s="177"/>
      <c r="E13" s="188"/>
      <c r="F13" s="176"/>
      <c r="G13" s="176"/>
      <c r="H13" s="176"/>
      <c r="I13" s="177"/>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36"/>
      <c r="AP13" s="176"/>
      <c r="AQ13" s="176"/>
      <c r="AR13" s="176"/>
      <c r="AS13" s="176"/>
      <c r="AT13" s="237"/>
    </row>
    <row r="14" spans="2:46" ht="15" customHeight="1" x14ac:dyDescent="0.25">
      <c r="B14" s="253"/>
      <c r="C14" s="176"/>
      <c r="D14" s="177"/>
      <c r="E14" s="188"/>
      <c r="F14" s="176"/>
      <c r="G14" s="176"/>
      <c r="H14" s="176"/>
      <c r="I14" s="177"/>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36"/>
      <c r="AP14" s="176"/>
      <c r="AQ14" s="176"/>
      <c r="AR14" s="176"/>
      <c r="AS14" s="176"/>
      <c r="AT14" s="237"/>
    </row>
    <row r="15" spans="2:46" ht="15.75" customHeight="1" x14ac:dyDescent="0.25">
      <c r="B15" s="253"/>
      <c r="C15" s="176"/>
      <c r="D15" s="177"/>
      <c r="E15" s="222"/>
      <c r="F15" s="246"/>
      <c r="G15" s="246"/>
      <c r="H15" s="246"/>
      <c r="I15" s="225"/>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38"/>
      <c r="AP15" s="239"/>
      <c r="AQ15" s="239"/>
      <c r="AR15" s="239"/>
      <c r="AS15" s="239"/>
      <c r="AT15" s="240"/>
    </row>
    <row r="16" spans="2:46" ht="15" customHeight="1" x14ac:dyDescent="0.25">
      <c r="B16" s="253"/>
      <c r="C16" s="176"/>
      <c r="D16" s="177"/>
      <c r="E16" s="261" t="s">
        <v>83</v>
      </c>
      <c r="F16" s="245"/>
      <c r="G16" s="245"/>
      <c r="H16" s="245"/>
      <c r="I16" s="245"/>
      <c r="J16" s="33" t="str">
        <f>IF(AND('Mapa final'!$Y$15="Alta",'Mapa final'!$AA$15="Leve"),CONCATENATE("R1C",'Mapa final'!$O$15),"")</f>
        <v/>
      </c>
      <c r="K16" s="34" t="str">
        <f>IF(AND('Mapa final'!$Y$16="Alta",'Mapa final'!$AA$16="Leve"),CONCATENATE("R1C",'Mapa final'!$O$16),"")</f>
        <v/>
      </c>
      <c r="L16" s="34" t="str">
        <f>IF(AND('Mapa final'!$Y$17="Alta",'Mapa final'!$AA$17="Leve"),CONCATENATE("R1C",'Mapa final'!$O$17),"")</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final'!$Y$15="Alta",'Mapa final'!$AA$15="Menor"),CONCATENATE("R1C",'Mapa final'!$O$15),"")</f>
        <v/>
      </c>
      <c r="Q16" s="34" t="str">
        <f>IF(AND('Mapa final'!$Y$16="Alta",'Mapa final'!$AA$16="Menor"),CONCATENATE("R1C",'Mapa final'!$O$16),"")</f>
        <v/>
      </c>
      <c r="R16" s="34" t="str">
        <f>IF(AND('Mapa final'!$Y$17="Alta",'Mapa final'!$AA$17="Menor"),CONCATENATE("R1C",'Mapa final'!$O$17),"")</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final'!$Y$15="Alta",'Mapa final'!$AA$15="Moderado"),CONCATENATE("R1C",'Mapa final'!$O$15),"")</f>
        <v/>
      </c>
      <c r="W16" s="16" t="str">
        <f>IF(AND('Mapa final'!$Y$16="Alta",'Mapa final'!$AA$16="Moderado"),CONCATENATE("R1C",'Mapa final'!$O$16),"")</f>
        <v/>
      </c>
      <c r="X16" s="16" t="str">
        <f>IF(AND('Mapa final'!$Y$17="Alta",'Mapa final'!$AA$17="Moderado"),CONCATENATE("R1C",'Mapa final'!$O$17),"")</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final'!$Y$15="Alta",'Mapa final'!$AA$15="Mayor"),CONCATENATE("R1C",'Mapa final'!$O$15),"")</f>
        <v/>
      </c>
      <c r="AC16" s="16" t="str">
        <f>IF(AND('Mapa final'!$Y$16="Alta",'Mapa final'!$AA$16="Mayor"),CONCATENATE("R1C",'Mapa final'!$O$16),"")</f>
        <v/>
      </c>
      <c r="AD16" s="16" t="str">
        <f>IF(AND('Mapa final'!$Y$17="Alta",'Mapa final'!$AA$17="Mayor"),CONCATENATE("R1C",'Mapa final'!$O$17),"")</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final'!$Y$15="Alta",'Mapa final'!$AA$15="Catastrófico"),CONCATENATE("R1C",'Mapa final'!$O$15),"")</f>
        <v/>
      </c>
      <c r="AI16" s="19" t="str">
        <f>IF(AND('Mapa final'!$Y$16="Alta",'Mapa final'!$AA$16="Catastrófico"),CONCATENATE("R1C",'Mapa final'!$O$16),"")</f>
        <v/>
      </c>
      <c r="AJ16" s="19" t="str">
        <f>IF(AND('Mapa final'!$Y$17="Alta",'Mapa final'!$AA$17="Catastrófico"),CONCATENATE("R1C",'Mapa final'!$O$17),"")</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57" t="s">
        <v>84</v>
      </c>
      <c r="AP16" s="234"/>
      <c r="AQ16" s="234"/>
      <c r="AR16" s="234"/>
      <c r="AS16" s="234"/>
      <c r="AT16" s="235"/>
    </row>
    <row r="17" spans="2:46" ht="15" customHeight="1" x14ac:dyDescent="0.25">
      <c r="B17" s="253"/>
      <c r="C17" s="176"/>
      <c r="D17" s="177"/>
      <c r="E17" s="188"/>
      <c r="F17" s="176"/>
      <c r="G17" s="176"/>
      <c r="H17" s="176"/>
      <c r="I17" s="176"/>
      <c r="J17" s="36" t="str">
        <f>IF(AND('Mapa final'!$Y$18="Alta",'Mapa final'!$AA$18="Leve"),CONCATENATE("R2C",'Mapa final'!$O$18),"")</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final'!$Y$19="Alta",'Mapa final'!$AA$19="Leve"),CONCATENATE("R2C",'Mapa final'!$O$19),"")</f>
        <v/>
      </c>
      <c r="O17" s="38" t="str">
        <f>IF(AND('Mapa final'!$Y$20="Alta",'Mapa final'!$AA$20="Leve"),CONCATENATE("R2C",'Mapa final'!$O$20),"")</f>
        <v/>
      </c>
      <c r="P17" s="36" t="str">
        <f>IF(AND('Mapa final'!$Y$18="Alta",'Mapa final'!$AA$18="Menor"),CONCATENATE("R2C",'Mapa final'!$O$18),"")</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final'!$Y$19="Alta",'Mapa final'!$AA$19="Menor"),CONCATENATE("R2C",'Mapa final'!$O$19),"")</f>
        <v/>
      </c>
      <c r="U17" s="38" t="str">
        <f>IF(AND('Mapa final'!$Y$20="Alta",'Mapa final'!$AA$20="Menor"),CONCATENATE("R2C",'Mapa final'!$O$20),"")</f>
        <v/>
      </c>
      <c r="V17" s="21" t="str">
        <f>IF(AND('Mapa final'!$Y$18="Alta",'Mapa final'!$AA$18="Moderado"),CONCATENATE("R2C",'Mapa final'!$O$18),"")</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final'!$Y$19="Alta",'Mapa final'!$AA$19="Moderado"),CONCATENATE("R2C",'Mapa final'!$O$19),"")</f>
        <v/>
      </c>
      <c r="AA17" s="23" t="str">
        <f>IF(AND('Mapa final'!$Y$20="Alta",'Mapa final'!$AA$20="Moderado"),CONCATENATE("R2C",'Mapa final'!$O$20),"")</f>
        <v/>
      </c>
      <c r="AB17" s="21" t="str">
        <f>IF(AND('Mapa final'!$Y$18="Alta",'Mapa final'!$AA$18="Mayor"),CONCATENATE("R2C",'Mapa final'!$O$18),"")</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final'!$Y$19="Alta",'Mapa final'!$AA$19="Mayor"),CONCATENATE("R2C",'Mapa final'!$O$19),"")</f>
        <v/>
      </c>
      <c r="AG17" s="23" t="str">
        <f>IF(AND('Mapa final'!$Y$20="Alta",'Mapa final'!$AA$20="Mayor"),CONCATENATE("R2C",'Mapa final'!$O$20),"")</f>
        <v/>
      </c>
      <c r="AH17" s="24" t="str">
        <f>IF(AND('Mapa final'!$Y$18="Alta",'Mapa final'!$AA$18="Catastrófico"),CONCATENATE("R2C",'Mapa final'!$O$18),"")</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final'!$Y$19="Alta",'Mapa final'!$AA$19="Catastrófico"),CONCATENATE("R2C",'Mapa final'!$O$19),"")</f>
        <v/>
      </c>
      <c r="AM17" s="26" t="str">
        <f>IF(AND('Mapa final'!$Y$20="Alta",'Mapa final'!$AA$20="Catastrófico"),CONCATENATE("R2C",'Mapa final'!$O$20),"")</f>
        <v/>
      </c>
      <c r="AN17" s="1"/>
      <c r="AO17" s="236"/>
      <c r="AP17" s="176"/>
      <c r="AQ17" s="176"/>
      <c r="AR17" s="176"/>
      <c r="AS17" s="176"/>
      <c r="AT17" s="237"/>
    </row>
    <row r="18" spans="2:46" ht="15" customHeight="1" x14ac:dyDescent="0.25">
      <c r="B18" s="253"/>
      <c r="C18" s="176"/>
      <c r="D18" s="177"/>
      <c r="E18" s="188"/>
      <c r="F18" s="176"/>
      <c r="G18" s="176"/>
      <c r="H18" s="176"/>
      <c r="I18" s="176"/>
      <c r="J18" s="36" t="str">
        <f>IF(AND('Mapa final'!$Y$21="Alta",'Mapa final'!$AA$21="Leve"),CONCATENATE("R3C",'Mapa final'!$O$21),"")</f>
        <v/>
      </c>
      <c r="K18" s="37" t="str">
        <f>IF(AND('Mapa final'!$Y$22="Alta",'Mapa final'!$AA$22="Leve"),CONCATENATE("R3C",'Mapa final'!$O$22),"")</f>
        <v/>
      </c>
      <c r="L18" s="37" t="str">
        <f>IF(AND('Mapa final'!$Y$23="Alta",'Mapa final'!$AA$23="Leve"),CONCATENATE("R3C",'Mapa final'!$O$23),"")</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final'!$Y$21="Alta",'Mapa final'!$AA$21="Menor"),CONCATENATE("R3C",'Mapa final'!$O$21),"")</f>
        <v/>
      </c>
      <c r="Q18" s="37" t="str">
        <f>IF(AND('Mapa final'!$Y$22="Alta",'Mapa final'!$AA$22="Menor"),CONCATENATE("R3C",'Mapa final'!$O$22),"")</f>
        <v/>
      </c>
      <c r="R18" s="37" t="str">
        <f>IF(AND('Mapa final'!$Y$23="Alta",'Mapa final'!$AA$23="Menor"),CONCATENATE("R3C",'Mapa final'!$O$23),"")</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final'!$Y$21="Alta",'Mapa final'!$AA$21="Moderado"),CONCATENATE("R3C",'Mapa final'!$O$21),"")</f>
        <v/>
      </c>
      <c r="W18" s="22" t="str">
        <f>IF(AND('Mapa final'!$Y$22="Alta",'Mapa final'!$AA$22="Moderado"),CONCATENATE("R3C",'Mapa final'!$O$22),"")</f>
        <v/>
      </c>
      <c r="X18" s="22" t="str">
        <f>IF(AND('Mapa final'!$Y$23="Alta",'Mapa final'!$AA$23="Moderado"),CONCATENATE("R3C",'Mapa final'!$O$23),"")</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final'!$Y$21="Alta",'Mapa final'!$AA$21="Mayor"),CONCATENATE("R3C",'Mapa final'!$O$21),"")</f>
        <v/>
      </c>
      <c r="AC18" s="22" t="str">
        <f>IF(AND('Mapa final'!$Y$22="Alta",'Mapa final'!$AA$22="Mayor"),CONCATENATE("R3C",'Mapa final'!$O$22),"")</f>
        <v/>
      </c>
      <c r="AD18" s="22" t="str">
        <f>IF(AND('Mapa final'!$Y$23="Alta",'Mapa final'!$AA$23="Mayor"),CONCATENATE("R3C",'Mapa final'!$O$23),"")</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final'!$Y$21="Alta",'Mapa final'!$AA$21="Catastrófico"),CONCATENATE("R3C",'Mapa final'!$O$21),"")</f>
        <v/>
      </c>
      <c r="AI18" s="25" t="str">
        <f>IF(AND('Mapa final'!$Y$22="Alta",'Mapa final'!$AA$22="Catastrófico"),CONCATENATE("R3C",'Mapa final'!$O$22),"")</f>
        <v/>
      </c>
      <c r="AJ18" s="25" t="str">
        <f>IF(AND('Mapa final'!$Y$23="Alta",'Mapa final'!$AA$23="Catastrófico"),CONCATENATE("R3C",'Mapa final'!$O$23),"")</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36"/>
      <c r="AP18" s="176"/>
      <c r="AQ18" s="176"/>
      <c r="AR18" s="176"/>
      <c r="AS18" s="176"/>
      <c r="AT18" s="237"/>
    </row>
    <row r="19" spans="2:46" ht="15" customHeight="1" x14ac:dyDescent="0.25">
      <c r="B19" s="253"/>
      <c r="C19" s="176"/>
      <c r="D19" s="177"/>
      <c r="E19" s="188"/>
      <c r="F19" s="176"/>
      <c r="G19" s="176"/>
      <c r="H19" s="176"/>
      <c r="I19" s="176"/>
      <c r="J19" s="36" t="str">
        <f>IF(AND('Mapa final'!$Y$24="Alta",'Mapa final'!$AA$24="Leve"),CONCATENATE("R4C",'Mapa final'!$O$24),"")</f>
        <v/>
      </c>
      <c r="K19" s="37" t="str">
        <f>IF(AND('Mapa final'!$Y$25="Alta",'Mapa final'!$AA$25="Leve"),CONCATENATE("R4C",'Mapa final'!$O$25),"")</f>
        <v/>
      </c>
      <c r="L19" s="37" t="e">
        <f>IF(AND('Mapa final'!#REF!="Alta",'Mapa final'!#REF!="Leve"),CONCATENATE("R4C",'Mapa final'!#REF!),"")</f>
        <v>#REF!</v>
      </c>
      <c r="M19" s="37" t="str">
        <f>IF(AND('Mapa final'!$Y$26="Alta",'Mapa final'!$AA$26="Leve"),CONCATENATE("R4C",'Mapa final'!$O$26),"")</f>
        <v/>
      </c>
      <c r="N19" s="37" t="e">
        <f>IF(AND('Mapa final'!#REF!="Alta",'Mapa final'!#REF!="Leve"),CONCATENATE("R4C",'Mapa final'!#REF!),"")</f>
        <v>#REF!</v>
      </c>
      <c r="O19" s="38" t="e">
        <f>IF(AND('Mapa final'!#REF!="Alta",'Mapa final'!#REF!="Leve"),CONCATENATE("R4C",'Mapa final'!#REF!),"")</f>
        <v>#REF!</v>
      </c>
      <c r="P19" s="36" t="str">
        <f>IF(AND('Mapa final'!$Y$24="Alta",'Mapa final'!$AA$24="Menor"),CONCATENATE("R4C",'Mapa final'!$O$24),"")</f>
        <v/>
      </c>
      <c r="Q19" s="37" t="str">
        <f>IF(AND('Mapa final'!$Y$25="Alta",'Mapa final'!$AA$25="Menor"),CONCATENATE("R4C",'Mapa final'!$O$25),"")</f>
        <v/>
      </c>
      <c r="R19" s="37" t="e">
        <f>IF(AND('Mapa final'!#REF!="Alta",'Mapa final'!#REF!="Menor"),CONCATENATE("R4C",'Mapa final'!#REF!),"")</f>
        <v>#REF!</v>
      </c>
      <c r="S19" s="37" t="str">
        <f>IF(AND('Mapa final'!$Y$26="Alta",'Mapa final'!$AA$26="Menor"),CONCATENATE("R4C",'Mapa final'!$O$26),"")</f>
        <v/>
      </c>
      <c r="T19" s="37" t="e">
        <f>IF(AND('Mapa final'!#REF!="Alta",'Mapa final'!#REF!="Menor"),CONCATENATE("R4C",'Mapa final'!#REF!),"")</f>
        <v>#REF!</v>
      </c>
      <c r="U19" s="38" t="e">
        <f>IF(AND('Mapa final'!#REF!="Alta",'Mapa final'!#REF!="Menor"),CONCATENATE("R4C",'Mapa final'!#REF!),"")</f>
        <v>#REF!</v>
      </c>
      <c r="V19" s="21" t="str">
        <f>IF(AND('Mapa final'!$Y$24="Alta",'Mapa final'!$AA$24="Moderado"),CONCATENATE("R4C",'Mapa final'!$O$24),"")</f>
        <v/>
      </c>
      <c r="W19" s="22" t="str">
        <f>IF(AND('Mapa final'!$Y$25="Alta",'Mapa final'!$AA$25="Moderado"),CONCATENATE("R4C",'Mapa final'!$O$25),"")</f>
        <v/>
      </c>
      <c r="X19" s="22" t="e">
        <f>IF(AND('Mapa final'!#REF!="Alta",'Mapa final'!#REF!="Moderado"),CONCATENATE("R4C",'Mapa final'!#REF!),"")</f>
        <v>#REF!</v>
      </c>
      <c r="Y19" s="22" t="str">
        <f>IF(AND('Mapa final'!$Y$26="Alta",'Mapa final'!$AA$26="Moderado"),CONCATENATE("R4C",'Mapa final'!$O$26),"")</f>
        <v/>
      </c>
      <c r="Z19" s="22" t="e">
        <f>IF(AND('Mapa final'!#REF!="Alta",'Mapa final'!#REF!="Moderado"),CONCATENATE("R4C",'Mapa final'!#REF!),"")</f>
        <v>#REF!</v>
      </c>
      <c r="AA19" s="23" t="e">
        <f>IF(AND('Mapa final'!#REF!="Alta",'Mapa final'!#REF!="Moderado"),CONCATENATE("R4C",'Mapa final'!#REF!),"")</f>
        <v>#REF!</v>
      </c>
      <c r="AB19" s="21" t="str">
        <f>IF(AND('Mapa final'!$Y$24="Alta",'Mapa final'!$AA$24="Mayor"),CONCATENATE("R4C",'Mapa final'!$O$24),"")</f>
        <v/>
      </c>
      <c r="AC19" s="22" t="str">
        <f>IF(AND('Mapa final'!$Y$25="Alta",'Mapa final'!$AA$25="Mayor"),CONCATENATE("R4C",'Mapa final'!$O$25),"")</f>
        <v/>
      </c>
      <c r="AD19" s="22" t="e">
        <f>IF(AND('Mapa final'!#REF!="Alta",'Mapa final'!#REF!="Mayor"),CONCATENATE("R4C",'Mapa final'!#REF!),"")</f>
        <v>#REF!</v>
      </c>
      <c r="AE19" s="22" t="str">
        <f>IF(AND('Mapa final'!$Y$26="Alta",'Mapa final'!$AA$26="Mayor"),CONCATENATE("R4C",'Mapa final'!$O$26),"")</f>
        <v/>
      </c>
      <c r="AF19" s="22" t="e">
        <f>IF(AND('Mapa final'!#REF!="Alta",'Mapa final'!#REF!="Mayor"),CONCATENATE("R4C",'Mapa final'!#REF!),"")</f>
        <v>#REF!</v>
      </c>
      <c r="AG19" s="23" t="e">
        <f>IF(AND('Mapa final'!#REF!="Alta",'Mapa final'!#REF!="Mayor"),CONCATENATE("R4C",'Mapa final'!#REF!),"")</f>
        <v>#REF!</v>
      </c>
      <c r="AH19" s="24" t="str">
        <f>IF(AND('Mapa final'!$Y$24="Alta",'Mapa final'!$AA$24="Catastrófico"),CONCATENATE("R4C",'Mapa final'!$O$24),"")</f>
        <v/>
      </c>
      <c r="AI19" s="25" t="str">
        <f>IF(AND('Mapa final'!$Y$25="Alta",'Mapa final'!$AA$25="Catastrófico"),CONCATENATE("R4C",'Mapa final'!$O$25),"")</f>
        <v/>
      </c>
      <c r="AJ19" s="25" t="e">
        <f>IF(AND('Mapa final'!#REF!="Alta",'Mapa final'!#REF!="Catastrófico"),CONCATENATE("R4C",'Mapa final'!#REF!),"")</f>
        <v>#REF!</v>
      </c>
      <c r="AK19" s="25" t="str">
        <f>IF(AND('Mapa final'!$Y$26="Alta",'Mapa final'!$AA$26="Catastrófico"),CONCATENATE("R4C",'Mapa final'!$O$26),"")</f>
        <v/>
      </c>
      <c r="AL19" s="25" t="e">
        <f>IF(AND('Mapa final'!#REF!="Alta",'Mapa final'!#REF!="Catastrófico"),CONCATENATE("R4C",'Mapa final'!#REF!),"")</f>
        <v>#REF!</v>
      </c>
      <c r="AM19" s="26" t="e">
        <f>IF(AND('Mapa final'!#REF!="Alta",'Mapa final'!#REF!="Catastrófico"),CONCATENATE("R4C",'Mapa final'!#REF!),"")</f>
        <v>#REF!</v>
      </c>
      <c r="AN19" s="1"/>
      <c r="AO19" s="236"/>
      <c r="AP19" s="176"/>
      <c r="AQ19" s="176"/>
      <c r="AR19" s="176"/>
      <c r="AS19" s="176"/>
      <c r="AT19" s="237"/>
    </row>
    <row r="20" spans="2:46" ht="15" customHeight="1" x14ac:dyDescent="0.25">
      <c r="B20" s="253"/>
      <c r="C20" s="176"/>
      <c r="D20" s="177"/>
      <c r="E20" s="188"/>
      <c r="F20" s="176"/>
      <c r="G20" s="176"/>
      <c r="H20" s="176"/>
      <c r="I20" s="176"/>
      <c r="J20" s="36" t="str">
        <f>IF(AND('Mapa final'!$Y$27="Alta",'Mapa final'!$AA$27="Leve"),CONCATENATE("R5C",'Mapa final'!$O$27),"")</f>
        <v/>
      </c>
      <c r="K20" s="37" t="str">
        <f>IF(AND('Mapa final'!$Y$28="Alta",'Mapa final'!$AA$28="Leve"),CONCATENATE("R5C",'Mapa final'!$O$28),"")</f>
        <v/>
      </c>
      <c r="L20" s="37" t="str">
        <f>IF(AND('Mapa final'!$Y$29="Alta",'Mapa final'!$AA$29="Leve"),CONCATENATE("R5C",'Mapa final'!$O$29),"")</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final'!$Y$27="Alta",'Mapa final'!$AA$27="Menor"),CONCATENATE("R5C",'Mapa final'!$O$27),"")</f>
        <v/>
      </c>
      <c r="Q20" s="37" t="str">
        <f>IF(AND('Mapa final'!$Y$28="Alta",'Mapa final'!$AA$28="Menor"),CONCATENATE("R5C",'Mapa final'!$O$28),"")</f>
        <v/>
      </c>
      <c r="R20" s="37" t="str">
        <f>IF(AND('Mapa final'!$Y$29="Alta",'Mapa final'!$AA$29="Menor"),CONCATENATE("R5C",'Mapa final'!$O$29),"")</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final'!$Y$27="Alta",'Mapa final'!$AA$27="Moderado"),CONCATENATE("R5C",'Mapa final'!$O$27),"")</f>
        <v/>
      </c>
      <c r="W20" s="22" t="str">
        <f>IF(AND('Mapa final'!$Y$28="Alta",'Mapa final'!$AA$28="Moderado"),CONCATENATE("R5C",'Mapa final'!$O$28),"")</f>
        <v/>
      </c>
      <c r="X20" s="22" t="str">
        <f>IF(AND('Mapa final'!$Y$29="Alta",'Mapa final'!$AA$29="Moderado"),CONCATENATE("R5C",'Mapa final'!$O$29),"")</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final'!$Y$27="Alta",'Mapa final'!$AA$27="Mayor"),CONCATENATE("R5C",'Mapa final'!$O$27),"")</f>
        <v/>
      </c>
      <c r="AC20" s="22" t="str">
        <f>IF(AND('Mapa final'!$Y$28="Alta",'Mapa final'!$AA$28="Mayor"),CONCATENATE("R5C",'Mapa final'!$O$28),"")</f>
        <v/>
      </c>
      <c r="AD20" s="22" t="str">
        <f>IF(AND('Mapa final'!$Y$29="Alta",'Mapa final'!$AA$29="Mayor"),CONCATENATE("R5C",'Mapa final'!$O$29),"")</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final'!$Y$27="Alta",'Mapa final'!$AA$27="Catastrófico"),CONCATENATE("R5C",'Mapa final'!$O$27),"")</f>
        <v/>
      </c>
      <c r="AI20" s="25" t="str">
        <f>IF(AND('Mapa final'!$Y$28="Alta",'Mapa final'!$AA$28="Catastrófico"),CONCATENATE("R5C",'Mapa final'!$O$28),"")</f>
        <v/>
      </c>
      <c r="AJ20" s="25" t="str">
        <f>IF(AND('Mapa final'!$Y$29="Alta",'Mapa final'!$AA$29="Catastrófico"),CONCATENATE("R5C",'Mapa final'!$O$29),"")</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36"/>
      <c r="AP20" s="176"/>
      <c r="AQ20" s="176"/>
      <c r="AR20" s="176"/>
      <c r="AS20" s="176"/>
      <c r="AT20" s="237"/>
    </row>
    <row r="21" spans="2:46" ht="15" customHeight="1" x14ac:dyDescent="0.25">
      <c r="B21" s="253"/>
      <c r="C21" s="176"/>
      <c r="D21" s="177"/>
      <c r="E21" s="188"/>
      <c r="F21" s="176"/>
      <c r="G21" s="176"/>
      <c r="H21" s="176"/>
      <c r="I21" s="176"/>
      <c r="J21" s="36" t="str">
        <f>IF(AND('Mapa final'!$Y$30="Alta",'Mapa final'!$AA$30="Leve"),CONCATENATE("R6C",'Mapa final'!$O$30),"")</f>
        <v/>
      </c>
      <c r="K21" s="37" t="str">
        <f>IF(AND('Mapa final'!$Y$31="Alta",'Mapa final'!$AA$31="Leve"),CONCATENATE("R6C",'Mapa final'!$O$31),"")</f>
        <v/>
      </c>
      <c r="L21" s="37" t="str">
        <f>IF(AND('Mapa final'!$Y$32="Alta",'Mapa final'!$AA$32="Leve"),CONCATENATE("R6C",'Mapa final'!$O$32),"")</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final'!$Y$30="Alta",'Mapa final'!$AA$30="Menor"),CONCATENATE("R6C",'Mapa final'!$O$30),"")</f>
        <v/>
      </c>
      <c r="Q21" s="37" t="str">
        <f>IF(AND('Mapa final'!$Y$31="Alta",'Mapa final'!$AA$31="Menor"),CONCATENATE("R6C",'Mapa final'!$O$31),"")</f>
        <v/>
      </c>
      <c r="R21" s="37" t="str">
        <f>IF(AND('Mapa final'!$Y$32="Alta",'Mapa final'!$AA$32="Menor"),CONCATENATE("R6C",'Mapa final'!$O$32),"")</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final'!$Y$30="Alta",'Mapa final'!$AA$30="Moderado"),CONCATENATE("R6C",'Mapa final'!$O$30),"")</f>
        <v/>
      </c>
      <c r="W21" s="22" t="str">
        <f>IF(AND('Mapa final'!$Y$31="Alta",'Mapa final'!$AA$31="Moderado"),CONCATENATE("R6C",'Mapa final'!$O$31),"")</f>
        <v/>
      </c>
      <c r="X21" s="22" t="str">
        <f>IF(AND('Mapa final'!$Y$32="Alta",'Mapa final'!$AA$32="Moderado"),CONCATENATE("R6C",'Mapa final'!$O$32),"")</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final'!$Y$30="Alta",'Mapa final'!$AA$30="Mayor"),CONCATENATE("R6C",'Mapa final'!$O$30),"")</f>
        <v/>
      </c>
      <c r="AC21" s="22" t="str">
        <f>IF(AND('Mapa final'!$Y$31="Alta",'Mapa final'!$AA$31="Mayor"),CONCATENATE("R6C",'Mapa final'!$O$31),"")</f>
        <v/>
      </c>
      <c r="AD21" s="22" t="str">
        <f>IF(AND('Mapa final'!$Y$32="Alta",'Mapa final'!$AA$32="Mayor"),CONCATENATE("R6C",'Mapa final'!$O$32),"")</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final'!$Y$30="Alta",'Mapa final'!$AA$30="Catastrófico"),CONCATENATE("R6C",'Mapa final'!$O$30),"")</f>
        <v/>
      </c>
      <c r="AI21" s="25" t="str">
        <f>IF(AND('Mapa final'!$Y$31="Alta",'Mapa final'!$AA$31="Catastrófico"),CONCATENATE("R6C",'Mapa final'!$O$31),"")</f>
        <v/>
      </c>
      <c r="AJ21" s="25" t="str">
        <f>IF(AND('Mapa final'!$Y$32="Alta",'Mapa final'!$AA$32="Catastrófico"),CONCATENATE("R6C",'Mapa final'!$O$32),"")</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36"/>
      <c r="AP21" s="176"/>
      <c r="AQ21" s="176"/>
      <c r="AR21" s="176"/>
      <c r="AS21" s="176"/>
      <c r="AT21" s="237"/>
    </row>
    <row r="22" spans="2:46" ht="15" customHeight="1" x14ac:dyDescent="0.25">
      <c r="B22" s="253"/>
      <c r="C22" s="176"/>
      <c r="D22" s="177"/>
      <c r="E22" s="188"/>
      <c r="F22" s="176"/>
      <c r="G22" s="176"/>
      <c r="H22" s="176"/>
      <c r="I22" s="176"/>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36"/>
      <c r="AP22" s="176"/>
      <c r="AQ22" s="176"/>
      <c r="AR22" s="176"/>
      <c r="AS22" s="176"/>
      <c r="AT22" s="237"/>
    </row>
    <row r="23" spans="2:46" ht="15" customHeight="1" x14ac:dyDescent="0.25">
      <c r="B23" s="253"/>
      <c r="C23" s="176"/>
      <c r="D23" s="177"/>
      <c r="E23" s="188"/>
      <c r="F23" s="176"/>
      <c r="G23" s="176"/>
      <c r="H23" s="176"/>
      <c r="I23" s="176"/>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36"/>
      <c r="AP23" s="176"/>
      <c r="AQ23" s="176"/>
      <c r="AR23" s="176"/>
      <c r="AS23" s="176"/>
      <c r="AT23" s="237"/>
    </row>
    <row r="24" spans="2:46" ht="15" customHeight="1" x14ac:dyDescent="0.25">
      <c r="B24" s="253"/>
      <c r="C24" s="176"/>
      <c r="D24" s="177"/>
      <c r="E24" s="188"/>
      <c r="F24" s="176"/>
      <c r="G24" s="176"/>
      <c r="H24" s="176"/>
      <c r="I24" s="176"/>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36"/>
      <c r="AP24" s="176"/>
      <c r="AQ24" s="176"/>
      <c r="AR24" s="176"/>
      <c r="AS24" s="176"/>
      <c r="AT24" s="237"/>
    </row>
    <row r="25" spans="2:46" ht="15.75" customHeight="1" x14ac:dyDescent="0.25">
      <c r="B25" s="253"/>
      <c r="C25" s="176"/>
      <c r="D25" s="177"/>
      <c r="E25" s="222"/>
      <c r="F25" s="246"/>
      <c r="G25" s="246"/>
      <c r="H25" s="246"/>
      <c r="I25" s="246"/>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38"/>
      <c r="AP25" s="239"/>
      <c r="AQ25" s="239"/>
      <c r="AR25" s="239"/>
      <c r="AS25" s="239"/>
      <c r="AT25" s="240"/>
    </row>
    <row r="26" spans="2:46" ht="15" customHeight="1" x14ac:dyDescent="0.25">
      <c r="B26" s="253"/>
      <c r="C26" s="176"/>
      <c r="D26" s="177"/>
      <c r="E26" s="261" t="s">
        <v>85</v>
      </c>
      <c r="F26" s="245"/>
      <c r="G26" s="245"/>
      <c r="H26" s="245"/>
      <c r="I26" s="227"/>
      <c r="J26" s="33" t="str">
        <f>IF(AND('Mapa final'!$Y$15="Media",'Mapa final'!$AA$15="Leve"),CONCATENATE("R1C",'Mapa final'!$O$15),"")</f>
        <v/>
      </c>
      <c r="K26" s="34" t="str">
        <f>IF(AND('Mapa final'!$Y$16="Media",'Mapa final'!$AA$16="Leve"),CONCATENATE("R1C",'Mapa final'!$O$16),"")</f>
        <v/>
      </c>
      <c r="L26" s="34" t="str">
        <f>IF(AND('Mapa final'!$Y$17="Media",'Mapa final'!$AA$17="Leve"),CONCATENATE("R1C",'Mapa final'!$O$17),"")</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final'!$Y$15="Media",'Mapa final'!$AA$15="Menor"),CONCATENATE("R1C",'Mapa final'!$O$15),"")</f>
        <v/>
      </c>
      <c r="Q26" s="34" t="str">
        <f>IF(AND('Mapa final'!$Y$16="Media",'Mapa final'!$AA$16="Menor"),CONCATENATE("R1C",'Mapa final'!$O$16),"")</f>
        <v/>
      </c>
      <c r="R26" s="34" t="str">
        <f>IF(AND('Mapa final'!$Y$17="Media",'Mapa final'!$AA$17="Menor"),CONCATENATE("R1C",'Mapa final'!$O$17),"")</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final'!$Y$15="Media",'Mapa final'!$AA$15="Moderado"),CONCATENATE("R1C",'Mapa final'!$O$15),"")</f>
        <v/>
      </c>
      <c r="W26" s="34" t="str">
        <f>IF(AND('Mapa final'!$Y$16="Media",'Mapa final'!$AA$16="Moderado"),CONCATENATE("R1C",'Mapa final'!$O$16),"")</f>
        <v/>
      </c>
      <c r="X26" s="34" t="str">
        <f>IF(AND('Mapa final'!$Y$17="Media",'Mapa final'!$AA$17="Moderado"),CONCATENATE("R1C",'Mapa final'!$O$17),"")</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final'!$Y$15="Media",'Mapa final'!$AA$15="Mayor"),CONCATENATE("R1C",'Mapa final'!$O$15),"")</f>
        <v/>
      </c>
      <c r="AC26" s="16" t="str">
        <f>IF(AND('Mapa final'!$Y$16="Media",'Mapa final'!$AA$16="Mayor"),CONCATENATE("R1C",'Mapa final'!$O$16),"")</f>
        <v/>
      </c>
      <c r="AD26" s="16" t="str">
        <f>IF(AND('Mapa final'!$Y$17="Media",'Mapa final'!$AA$17="Mayor"),CONCATENATE("R1C",'Mapa final'!$O$17),"")</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final'!$Y$15="Media",'Mapa final'!$AA$15="Catastrófico"),CONCATENATE("R1C",'Mapa final'!$O$15),"")</f>
        <v/>
      </c>
      <c r="AI26" s="19" t="str">
        <f>IF(AND('Mapa final'!$Y$16="Media",'Mapa final'!$AA$16="Catastrófico"),CONCATENATE("R1C",'Mapa final'!$O$16),"")</f>
        <v/>
      </c>
      <c r="AJ26" s="19" t="str">
        <f>IF(AND('Mapa final'!$Y$17="Media",'Mapa final'!$AA$17="Catastrófico"),CONCATENATE("R1C",'Mapa final'!$O$17),"")</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258" t="s">
        <v>86</v>
      </c>
      <c r="AP26" s="234"/>
      <c r="AQ26" s="234"/>
      <c r="AR26" s="234"/>
      <c r="AS26" s="234"/>
      <c r="AT26" s="235"/>
    </row>
    <row r="27" spans="2:46" ht="15" customHeight="1" x14ac:dyDescent="0.25">
      <c r="B27" s="253"/>
      <c r="C27" s="176"/>
      <c r="D27" s="177"/>
      <c r="E27" s="188"/>
      <c r="F27" s="176"/>
      <c r="G27" s="176"/>
      <c r="H27" s="176"/>
      <c r="I27" s="177"/>
      <c r="J27" s="36" t="str">
        <f>IF(AND('Mapa final'!$Y$18="Media",'Mapa final'!$AA$18="Leve"),CONCATENATE("R2C",'Mapa final'!$O$18),"")</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final'!$Y$19="Media",'Mapa final'!$AA$19="Leve"),CONCATENATE("R2C",'Mapa final'!$O$19),"")</f>
        <v/>
      </c>
      <c r="O27" s="38" t="str">
        <f>IF(AND('Mapa final'!$Y$20="Media",'Mapa final'!$AA$20="Leve"),CONCATENATE("R2C",'Mapa final'!$O$20),"")</f>
        <v/>
      </c>
      <c r="P27" s="36" t="str">
        <f>IF(AND('Mapa final'!$Y$18="Media",'Mapa final'!$AA$18="Menor"),CONCATENATE("R2C",'Mapa final'!$O$18),"")</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final'!$Y$19="Media",'Mapa final'!$AA$19="Menor"),CONCATENATE("R2C",'Mapa final'!$O$19),"")</f>
        <v/>
      </c>
      <c r="U27" s="38" t="str">
        <f>IF(AND('Mapa final'!$Y$20="Media",'Mapa final'!$AA$20="Menor"),CONCATENATE("R2C",'Mapa final'!$O$20),"")</f>
        <v/>
      </c>
      <c r="V27" s="36" t="str">
        <f>IF(AND('Mapa final'!$Y$18="Media",'Mapa final'!$AA$18="Moderado"),CONCATENATE("R2C",'Mapa final'!$O$18),"")</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final'!$Y$19="Media",'Mapa final'!$AA$19="Moderado"),CONCATENATE("R2C",'Mapa final'!$O$19),"")</f>
        <v/>
      </c>
      <c r="AA27" s="38" t="str">
        <f>IF(AND('Mapa final'!$Y$20="Media",'Mapa final'!$AA$20="Moderado"),CONCATENATE("R2C",'Mapa final'!$O$20),"")</f>
        <v/>
      </c>
      <c r="AB27" s="21" t="str">
        <f>IF(AND('Mapa final'!$Y$18="Media",'Mapa final'!$AA$18="Mayor"),CONCATENATE("R2C",'Mapa final'!$O$18),"")</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final'!$Y$19="Media",'Mapa final'!$AA$19="Mayor"),CONCATENATE("R2C",'Mapa final'!$O$19),"")</f>
        <v/>
      </c>
      <c r="AG27" s="23" t="str">
        <f>IF(AND('Mapa final'!$Y$20="Media",'Mapa final'!$AA$20="Mayor"),CONCATENATE("R2C",'Mapa final'!$O$20),"")</f>
        <v/>
      </c>
      <c r="AH27" s="24" t="str">
        <f>IF(AND('Mapa final'!$Y$18="Media",'Mapa final'!$AA$18="Catastrófico"),CONCATENATE("R2C",'Mapa final'!$O$18),"")</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final'!$Y$19="Media",'Mapa final'!$AA$19="Catastrófico"),CONCATENATE("R2C",'Mapa final'!$O$19),"")</f>
        <v/>
      </c>
      <c r="AM27" s="26" t="str">
        <f>IF(AND('Mapa final'!$Y$20="Media",'Mapa final'!$AA$20="Catastrófico"),CONCATENATE("R2C",'Mapa final'!$O$20),"")</f>
        <v/>
      </c>
      <c r="AN27" s="1"/>
      <c r="AO27" s="236"/>
      <c r="AP27" s="176"/>
      <c r="AQ27" s="176"/>
      <c r="AR27" s="176"/>
      <c r="AS27" s="176"/>
      <c r="AT27" s="237"/>
    </row>
    <row r="28" spans="2:46" ht="15" customHeight="1" x14ac:dyDescent="0.25">
      <c r="B28" s="253"/>
      <c r="C28" s="176"/>
      <c r="D28" s="177"/>
      <c r="E28" s="188"/>
      <c r="F28" s="176"/>
      <c r="G28" s="176"/>
      <c r="H28" s="176"/>
      <c r="I28" s="177"/>
      <c r="J28" s="36" t="str">
        <f>IF(AND('Mapa final'!$Y$21="Media",'Mapa final'!$AA$21="Leve"),CONCATENATE("R3C",'Mapa final'!$O$21),"")</f>
        <v/>
      </c>
      <c r="K28" s="37" t="str">
        <f>IF(AND('Mapa final'!$Y$22="Media",'Mapa final'!$AA$22="Leve"),CONCATENATE("R3C",'Mapa final'!$O$22),"")</f>
        <v/>
      </c>
      <c r="L28" s="37" t="str">
        <f>IF(AND('Mapa final'!$Y$23="Media",'Mapa final'!$AA$23="Leve"),CONCATENATE("R3C",'Mapa final'!$O$23),"")</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final'!$Y$21="Media",'Mapa final'!$AA$21="Menor"),CONCATENATE("R3C",'Mapa final'!$O$21),"")</f>
        <v/>
      </c>
      <c r="Q28" s="37" t="str">
        <f>IF(AND('Mapa final'!$Y$22="Media",'Mapa final'!$AA$22="Menor"),CONCATENATE("R3C",'Mapa final'!$O$22),"")</f>
        <v/>
      </c>
      <c r="R28" s="37" t="str">
        <f>IF(AND('Mapa final'!$Y$23="Media",'Mapa final'!$AA$23="Menor"),CONCATENATE("R3C",'Mapa final'!$O$23),"")</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final'!$Y$21="Media",'Mapa final'!$AA$21="Moderado"),CONCATENATE("R3C",'Mapa final'!$O$21),"")</f>
        <v/>
      </c>
      <c r="W28" s="37" t="str">
        <f>IF(AND('Mapa final'!$Y$22="Media",'Mapa final'!$AA$22="Moderado"),CONCATENATE("R3C",'Mapa final'!$O$22),"")</f>
        <v/>
      </c>
      <c r="X28" s="37" t="str">
        <f>IF(AND('Mapa final'!$Y$23="Media",'Mapa final'!$AA$23="Moderado"),CONCATENATE("R3C",'Mapa final'!$O$23),"")</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final'!$Y$21="Media",'Mapa final'!$AA$21="Mayor"),CONCATENATE("R3C",'Mapa final'!$O$21),"")</f>
        <v/>
      </c>
      <c r="AC28" s="22" t="str">
        <f>IF(AND('Mapa final'!$Y$22="Media",'Mapa final'!$AA$22="Mayor"),CONCATENATE("R3C",'Mapa final'!$O$22),"")</f>
        <v/>
      </c>
      <c r="AD28" s="22" t="str">
        <f>IF(AND('Mapa final'!$Y$23="Media",'Mapa final'!$AA$23="Mayor"),CONCATENATE("R3C",'Mapa final'!$O$23),"")</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final'!$Y$21="Media",'Mapa final'!$AA$21="Catastrófico"),CONCATENATE("R3C",'Mapa final'!$O$21),"")</f>
        <v/>
      </c>
      <c r="AI28" s="25" t="str">
        <f>IF(AND('Mapa final'!$Y$22="Media",'Mapa final'!$AA$22="Catastrófico"),CONCATENATE("R3C",'Mapa final'!$O$22),"")</f>
        <v/>
      </c>
      <c r="AJ28" s="25" t="str">
        <f>IF(AND('Mapa final'!$Y$23="Media",'Mapa final'!$AA$23="Catastrófico"),CONCATENATE("R3C",'Mapa final'!$O$23),"")</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36"/>
      <c r="AP28" s="176"/>
      <c r="AQ28" s="176"/>
      <c r="AR28" s="176"/>
      <c r="AS28" s="176"/>
      <c r="AT28" s="237"/>
    </row>
    <row r="29" spans="2:46" ht="15" customHeight="1" x14ac:dyDescent="0.25">
      <c r="B29" s="253"/>
      <c r="C29" s="176"/>
      <c r="D29" s="177"/>
      <c r="E29" s="188"/>
      <c r="F29" s="176"/>
      <c r="G29" s="176"/>
      <c r="H29" s="176"/>
      <c r="I29" s="177"/>
      <c r="J29" s="36" t="str">
        <f>IF(AND('Mapa final'!$Y$24="Media",'Mapa final'!$AA$24="Leve"),CONCATENATE("R4C",'Mapa final'!$O$24),"")</f>
        <v/>
      </c>
      <c r="K29" s="37" t="str">
        <f>IF(AND('Mapa final'!$Y$25="Media",'Mapa final'!$AA$25="Leve"),CONCATENATE("R4C",'Mapa final'!$O$25),"")</f>
        <v/>
      </c>
      <c r="L29" s="37" t="e">
        <f>IF(AND('Mapa final'!#REF!="Media",'Mapa final'!#REF!="Leve"),CONCATENATE("R4C",'Mapa final'!#REF!),"")</f>
        <v>#REF!</v>
      </c>
      <c r="M29" s="37" t="str">
        <f>IF(AND('Mapa final'!$Y$26="Media",'Mapa final'!$AA$26="Leve"),CONCATENATE("R4C",'Mapa final'!$O$26),"")</f>
        <v/>
      </c>
      <c r="N29" s="37" t="e">
        <f>IF(AND('Mapa final'!#REF!="Media",'Mapa final'!#REF!="Leve"),CONCATENATE("R4C",'Mapa final'!#REF!),"")</f>
        <v>#REF!</v>
      </c>
      <c r="O29" s="38" t="e">
        <f>IF(AND('Mapa final'!#REF!="Media",'Mapa final'!#REF!="Leve"),CONCATENATE("R4C",'Mapa final'!#REF!),"")</f>
        <v>#REF!</v>
      </c>
      <c r="P29" s="36" t="str">
        <f>IF(AND('Mapa final'!$Y$24="Media",'Mapa final'!$AA$24="Menor"),CONCATENATE("R4C",'Mapa final'!$O$24),"")</f>
        <v/>
      </c>
      <c r="Q29" s="37" t="str">
        <f>IF(AND('Mapa final'!$Y$25="Media",'Mapa final'!$AA$25="Menor"),CONCATENATE("R4C",'Mapa final'!$O$25),"")</f>
        <v/>
      </c>
      <c r="R29" s="37" t="e">
        <f>IF(AND('Mapa final'!#REF!="Media",'Mapa final'!#REF!="Menor"),CONCATENATE("R4C",'Mapa final'!#REF!),"")</f>
        <v>#REF!</v>
      </c>
      <c r="S29" s="37" t="str">
        <f>IF(AND('Mapa final'!$Y$26="Media",'Mapa final'!$AA$26="Menor"),CONCATENATE("R4C",'Mapa final'!$O$26),"")</f>
        <v/>
      </c>
      <c r="T29" s="37" t="e">
        <f>IF(AND('Mapa final'!#REF!="Media",'Mapa final'!#REF!="Menor"),CONCATENATE("R4C",'Mapa final'!#REF!),"")</f>
        <v>#REF!</v>
      </c>
      <c r="U29" s="38" t="e">
        <f>IF(AND('Mapa final'!#REF!="Media",'Mapa final'!#REF!="Menor"),CONCATENATE("R4C",'Mapa final'!#REF!),"")</f>
        <v>#REF!</v>
      </c>
      <c r="V29" s="36" t="str">
        <f>IF(AND('Mapa final'!$Y$24="Media",'Mapa final'!$AA$24="Moderado"),CONCATENATE("R4C",'Mapa final'!$O$24),"")</f>
        <v/>
      </c>
      <c r="W29" s="37" t="str">
        <f>IF(AND('Mapa final'!$Y$25="Media",'Mapa final'!$AA$25="Moderado"),CONCATENATE("R4C",'Mapa final'!$O$25),"")</f>
        <v/>
      </c>
      <c r="X29" s="37" t="e">
        <f>IF(AND('Mapa final'!#REF!="Media",'Mapa final'!#REF!="Moderado"),CONCATENATE("R4C",'Mapa final'!#REF!),"")</f>
        <v>#REF!</v>
      </c>
      <c r="Y29" s="37" t="str">
        <f>IF(AND('Mapa final'!$Y$26="Media",'Mapa final'!$AA$26="Moderado"),CONCATENATE("R4C",'Mapa final'!$O$26),"")</f>
        <v/>
      </c>
      <c r="Z29" s="37" t="e">
        <f>IF(AND('Mapa final'!#REF!="Media",'Mapa final'!#REF!="Moderado"),CONCATENATE("R4C",'Mapa final'!#REF!),"")</f>
        <v>#REF!</v>
      </c>
      <c r="AA29" s="38" t="e">
        <f>IF(AND('Mapa final'!#REF!="Media",'Mapa final'!#REF!="Moderado"),CONCATENATE("R4C",'Mapa final'!#REF!),"")</f>
        <v>#REF!</v>
      </c>
      <c r="AB29" s="21" t="str">
        <f>IF(AND('Mapa final'!$Y$24="Media",'Mapa final'!$AA$24="Mayor"),CONCATENATE("R4C",'Mapa final'!$O$24),"")</f>
        <v/>
      </c>
      <c r="AC29" s="22" t="str">
        <f>IF(AND('Mapa final'!$Y$25="Media",'Mapa final'!$AA$25="Mayor"),CONCATENATE("R4C",'Mapa final'!$O$25),"")</f>
        <v/>
      </c>
      <c r="AD29" s="22" t="e">
        <f>IF(AND('Mapa final'!#REF!="Media",'Mapa final'!#REF!="Mayor"),CONCATENATE("R4C",'Mapa final'!#REF!),"")</f>
        <v>#REF!</v>
      </c>
      <c r="AE29" s="22" t="str">
        <f>IF(AND('Mapa final'!$Y$26="Media",'Mapa final'!$AA$26="Mayor"),CONCATENATE("R4C",'Mapa final'!$O$26),"")</f>
        <v/>
      </c>
      <c r="AF29" s="22" t="e">
        <f>IF(AND('Mapa final'!#REF!="Media",'Mapa final'!#REF!="Mayor"),CONCATENATE("R4C",'Mapa final'!#REF!),"")</f>
        <v>#REF!</v>
      </c>
      <c r="AG29" s="23" t="e">
        <f>IF(AND('Mapa final'!#REF!="Media",'Mapa final'!#REF!="Mayor"),CONCATENATE("R4C",'Mapa final'!#REF!),"")</f>
        <v>#REF!</v>
      </c>
      <c r="AH29" s="24" t="str">
        <f>IF(AND('Mapa final'!$Y$24="Media",'Mapa final'!$AA$24="Catastrófico"),CONCATENATE("R4C",'Mapa final'!$O$24),"")</f>
        <v/>
      </c>
      <c r="AI29" s="25" t="str">
        <f>IF(AND('Mapa final'!$Y$25="Media",'Mapa final'!$AA$25="Catastrófico"),CONCATENATE("R4C",'Mapa final'!$O$25),"")</f>
        <v/>
      </c>
      <c r="AJ29" s="25" t="e">
        <f>IF(AND('Mapa final'!#REF!="Media",'Mapa final'!#REF!="Catastrófico"),CONCATENATE("R4C",'Mapa final'!#REF!),"")</f>
        <v>#REF!</v>
      </c>
      <c r="AK29" s="25" t="str">
        <f>IF(AND('Mapa final'!$Y$26="Media",'Mapa final'!$AA$26="Catastrófico"),CONCATENATE("R4C",'Mapa final'!$O$26),"")</f>
        <v/>
      </c>
      <c r="AL29" s="25" t="e">
        <f>IF(AND('Mapa final'!#REF!="Media",'Mapa final'!#REF!="Catastrófico"),CONCATENATE("R4C",'Mapa final'!#REF!),"")</f>
        <v>#REF!</v>
      </c>
      <c r="AM29" s="26" t="e">
        <f>IF(AND('Mapa final'!#REF!="Media",'Mapa final'!#REF!="Catastrófico"),CONCATENATE("R4C",'Mapa final'!#REF!),"")</f>
        <v>#REF!</v>
      </c>
      <c r="AN29" s="1"/>
      <c r="AO29" s="236"/>
      <c r="AP29" s="176"/>
      <c r="AQ29" s="176"/>
      <c r="AR29" s="176"/>
      <c r="AS29" s="176"/>
      <c r="AT29" s="237"/>
    </row>
    <row r="30" spans="2:46" ht="15" customHeight="1" x14ac:dyDescent="0.25">
      <c r="B30" s="253"/>
      <c r="C30" s="176"/>
      <c r="D30" s="177"/>
      <c r="E30" s="188"/>
      <c r="F30" s="176"/>
      <c r="G30" s="176"/>
      <c r="H30" s="176"/>
      <c r="I30" s="177"/>
      <c r="J30" s="36" t="str">
        <f>IF(AND('Mapa final'!$Y$27="Media",'Mapa final'!$AA$27="Leve"),CONCATENATE("R5C",'Mapa final'!$O$27),"")</f>
        <v/>
      </c>
      <c r="K30" s="37" t="str">
        <f>IF(AND('Mapa final'!$Y$28="Media",'Mapa final'!$AA$28="Leve"),CONCATENATE("R5C",'Mapa final'!$O$28),"")</f>
        <v/>
      </c>
      <c r="L30" s="37" t="str">
        <f>IF(AND('Mapa final'!$Y$29="Media",'Mapa final'!$AA$29="Leve"),CONCATENATE("R5C",'Mapa final'!$O$29),"")</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final'!$Y$27="Media",'Mapa final'!$AA$27="Menor"),CONCATENATE("R5C",'Mapa final'!$O$27),"")</f>
        <v/>
      </c>
      <c r="Q30" s="37" t="str">
        <f>IF(AND('Mapa final'!$Y$28="Media",'Mapa final'!$AA$28="Menor"),CONCATENATE("R5C",'Mapa final'!$O$28),"")</f>
        <v/>
      </c>
      <c r="R30" s="37" t="str">
        <f>IF(AND('Mapa final'!$Y$29="Media",'Mapa final'!$AA$29="Menor"),CONCATENATE("R5C",'Mapa final'!$O$29),"")</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final'!$Y$27="Media",'Mapa final'!$AA$27="Moderado"),CONCATENATE("R5C",'Mapa final'!$O$27),"")</f>
        <v/>
      </c>
      <c r="W30" s="37" t="str">
        <f>IF(AND('Mapa final'!$Y$28="Media",'Mapa final'!$AA$28="Moderado"),CONCATENATE("R5C",'Mapa final'!$O$28),"")</f>
        <v/>
      </c>
      <c r="X30" s="37" t="str">
        <f>IF(AND('Mapa final'!$Y$29="Media",'Mapa final'!$AA$29="Moderado"),CONCATENATE("R5C",'Mapa final'!$O$29),"")</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final'!$Y$27="Media",'Mapa final'!$AA$27="Mayor"),CONCATENATE("R5C",'Mapa final'!$O$27),"")</f>
        <v/>
      </c>
      <c r="AC30" s="22" t="str">
        <f>IF(AND('Mapa final'!$Y$28="Media",'Mapa final'!$AA$28="Mayor"),CONCATENATE("R5C",'Mapa final'!$O$28),"")</f>
        <v/>
      </c>
      <c r="AD30" s="22" t="str">
        <f>IF(AND('Mapa final'!$Y$29="Media",'Mapa final'!$AA$29="Mayor"),CONCATENATE("R5C",'Mapa final'!$O$29),"")</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final'!$Y$27="Media",'Mapa final'!$AA$27="Catastrófico"),CONCATENATE("R5C",'Mapa final'!$O$27),"")</f>
        <v/>
      </c>
      <c r="AI30" s="25" t="str">
        <f>IF(AND('Mapa final'!$Y$28="Media",'Mapa final'!$AA$28="Catastrófico"),CONCATENATE("R5C",'Mapa final'!$O$28),"")</f>
        <v/>
      </c>
      <c r="AJ30" s="25" t="str">
        <f>IF(AND('Mapa final'!$Y$29="Media",'Mapa final'!$AA$29="Catastrófico"),CONCATENATE("R5C",'Mapa final'!$O$29),"")</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36"/>
      <c r="AP30" s="176"/>
      <c r="AQ30" s="176"/>
      <c r="AR30" s="176"/>
      <c r="AS30" s="176"/>
      <c r="AT30" s="237"/>
    </row>
    <row r="31" spans="2:46" ht="15" customHeight="1" x14ac:dyDescent="0.25">
      <c r="B31" s="253"/>
      <c r="C31" s="176"/>
      <c r="D31" s="177"/>
      <c r="E31" s="188"/>
      <c r="F31" s="176"/>
      <c r="G31" s="176"/>
      <c r="H31" s="176"/>
      <c r="I31" s="177"/>
      <c r="J31" s="36" t="str">
        <f>IF(AND('Mapa final'!$Y$30="Media",'Mapa final'!$AA$30="Leve"),CONCATENATE("R6C",'Mapa final'!$O$30),"")</f>
        <v/>
      </c>
      <c r="K31" s="37" t="str">
        <f>IF(AND('Mapa final'!$Y$31="Media",'Mapa final'!$AA$31="Leve"),CONCATENATE("R6C",'Mapa final'!$O$31),"")</f>
        <v/>
      </c>
      <c r="L31" s="37" t="str">
        <f>IF(AND('Mapa final'!$Y$32="Media",'Mapa final'!$AA$32="Leve"),CONCATENATE("R6C",'Mapa final'!$O$32),"")</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final'!$Y$30="Media",'Mapa final'!$AA$30="Menor"),CONCATENATE("R6C",'Mapa final'!$O$30),"")</f>
        <v/>
      </c>
      <c r="Q31" s="37" t="str">
        <f>IF(AND('Mapa final'!$Y$31="Media",'Mapa final'!$AA$31="Menor"),CONCATENATE("R6C",'Mapa final'!$O$31),"")</f>
        <v/>
      </c>
      <c r="R31" s="37" t="str">
        <f>IF(AND('Mapa final'!$Y$32="Media",'Mapa final'!$AA$32="Menor"),CONCATENATE("R6C",'Mapa final'!$O$32),"")</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final'!$Y$30="Media",'Mapa final'!$AA$30="Moderado"),CONCATENATE("R6C",'Mapa final'!$O$30),"")</f>
        <v/>
      </c>
      <c r="W31" s="37" t="str">
        <f>IF(AND('Mapa final'!$Y$31="Media",'Mapa final'!$AA$31="Moderado"),CONCATENATE("R6C",'Mapa final'!$O$31),"")</f>
        <v/>
      </c>
      <c r="X31" s="37" t="str">
        <f>IF(AND('Mapa final'!$Y$32="Media",'Mapa final'!$AA$32="Moderado"),CONCATENATE("R6C",'Mapa final'!$O$32),"")</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final'!$Y$30="Media",'Mapa final'!$AA$30="Mayor"),CONCATENATE("R6C",'Mapa final'!$O$30),"")</f>
        <v/>
      </c>
      <c r="AC31" s="22" t="str">
        <f>IF(AND('Mapa final'!$Y$31="Media",'Mapa final'!$AA$31="Mayor"),CONCATENATE("R6C",'Mapa final'!$O$31),"")</f>
        <v/>
      </c>
      <c r="AD31" s="22" t="str">
        <f>IF(AND('Mapa final'!$Y$32="Media",'Mapa final'!$AA$32="Mayor"),CONCATENATE("R6C",'Mapa final'!$O$32),"")</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final'!$Y$30="Media",'Mapa final'!$AA$30="Catastrófico"),CONCATENATE("R6C",'Mapa final'!$O$30),"")</f>
        <v/>
      </c>
      <c r="AI31" s="25" t="str">
        <f>IF(AND('Mapa final'!$Y$31="Media",'Mapa final'!$AA$31="Catastrófico"),CONCATENATE("R6C",'Mapa final'!$O$31),"")</f>
        <v/>
      </c>
      <c r="AJ31" s="25" t="str">
        <f>IF(AND('Mapa final'!$Y$32="Media",'Mapa final'!$AA$32="Catastrófico"),CONCATENATE("R6C",'Mapa final'!$O$32),"")</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36"/>
      <c r="AP31" s="176"/>
      <c r="AQ31" s="176"/>
      <c r="AR31" s="176"/>
      <c r="AS31" s="176"/>
      <c r="AT31" s="237"/>
    </row>
    <row r="32" spans="2:46" ht="15" customHeight="1" x14ac:dyDescent="0.25">
      <c r="B32" s="253"/>
      <c r="C32" s="176"/>
      <c r="D32" s="177"/>
      <c r="E32" s="188"/>
      <c r="F32" s="176"/>
      <c r="G32" s="176"/>
      <c r="H32" s="176"/>
      <c r="I32" s="177"/>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36"/>
      <c r="AP32" s="176"/>
      <c r="AQ32" s="176"/>
      <c r="AR32" s="176"/>
      <c r="AS32" s="176"/>
      <c r="AT32" s="237"/>
    </row>
    <row r="33" spans="2:46" ht="15" customHeight="1" x14ac:dyDescent="0.25">
      <c r="B33" s="253"/>
      <c r="C33" s="176"/>
      <c r="D33" s="177"/>
      <c r="E33" s="188"/>
      <c r="F33" s="176"/>
      <c r="G33" s="176"/>
      <c r="H33" s="176"/>
      <c r="I33" s="177"/>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36"/>
      <c r="AP33" s="176"/>
      <c r="AQ33" s="176"/>
      <c r="AR33" s="176"/>
      <c r="AS33" s="176"/>
      <c r="AT33" s="237"/>
    </row>
    <row r="34" spans="2:46" ht="15" customHeight="1" x14ac:dyDescent="0.25">
      <c r="B34" s="253"/>
      <c r="C34" s="176"/>
      <c r="D34" s="177"/>
      <c r="E34" s="188"/>
      <c r="F34" s="176"/>
      <c r="G34" s="176"/>
      <c r="H34" s="176"/>
      <c r="I34" s="177"/>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36"/>
      <c r="AP34" s="176"/>
      <c r="AQ34" s="176"/>
      <c r="AR34" s="176"/>
      <c r="AS34" s="176"/>
      <c r="AT34" s="237"/>
    </row>
    <row r="35" spans="2:46" ht="15.75" customHeight="1" x14ac:dyDescent="0.25">
      <c r="B35" s="253"/>
      <c r="C35" s="176"/>
      <c r="D35" s="177"/>
      <c r="E35" s="222"/>
      <c r="F35" s="246"/>
      <c r="G35" s="246"/>
      <c r="H35" s="246"/>
      <c r="I35" s="225"/>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38"/>
      <c r="AP35" s="239"/>
      <c r="AQ35" s="239"/>
      <c r="AR35" s="239"/>
      <c r="AS35" s="239"/>
      <c r="AT35" s="240"/>
    </row>
    <row r="36" spans="2:46" ht="15" customHeight="1" x14ac:dyDescent="0.25">
      <c r="B36" s="253"/>
      <c r="C36" s="176"/>
      <c r="D36" s="177"/>
      <c r="E36" s="261" t="s">
        <v>87</v>
      </c>
      <c r="F36" s="245"/>
      <c r="G36" s="245"/>
      <c r="H36" s="245"/>
      <c r="I36" s="245"/>
      <c r="J36" s="42" t="str">
        <f>IF(AND('Mapa final'!$Y$15="Baja",'Mapa final'!$AA$15="Leve"),CONCATENATE("R1C",'Mapa final'!$O$15),"")</f>
        <v/>
      </c>
      <c r="K36" s="43" t="str">
        <f>IF(AND('Mapa final'!$Y$16="Baja",'Mapa final'!$AA$16="Leve"),CONCATENATE("R1C",'Mapa final'!$O$16),"")</f>
        <v/>
      </c>
      <c r="L36" s="43" t="str">
        <f>IF(AND('Mapa final'!$Y$17="Baja",'Mapa final'!$AA$17="Leve"),CONCATENATE("R1C",'Mapa final'!$O$17),"")</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final'!$Y$15="Baja",'Mapa final'!$AA$15="Menor"),CONCATENATE("R1C",'Mapa final'!$O$15),"")</f>
        <v/>
      </c>
      <c r="Q36" s="34" t="str">
        <f>IF(AND('Mapa final'!$Y$16="Baja",'Mapa final'!$AA$16="Menor"),CONCATENATE("R1C",'Mapa final'!$O$16),"")</f>
        <v/>
      </c>
      <c r="R36" s="34" t="str">
        <f>IF(AND('Mapa final'!$Y$17="Baja",'Mapa final'!$AA$17="Menor"),CONCATENATE("R1C",'Mapa final'!$O$17),"")</f>
        <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final'!$Y$15="Baja",'Mapa final'!$AA$15="Moderado"),CONCATENATE("R1C",'Mapa final'!$O$15),"")</f>
        <v/>
      </c>
      <c r="W36" s="34" t="str">
        <f>IF(AND('Mapa final'!$Y$16="Baja",'Mapa final'!$AA$16="Moderado"),CONCATENATE("R1C",'Mapa final'!$O$16),"")</f>
        <v/>
      </c>
      <c r="X36" s="34" t="str">
        <f>IF(AND('Mapa final'!$Y$17="Baja",'Mapa final'!$AA$17="Moderado"),CONCATENATE("R1C",'Mapa final'!$O$17),"")</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final'!$Y$15="Baja",'Mapa final'!$AA$15="Mayor"),CONCATENATE("R1C",'Mapa final'!$O$15),"")</f>
        <v/>
      </c>
      <c r="AC36" s="16" t="str">
        <f>IF(AND('Mapa final'!$Y$16="Baja",'Mapa final'!$AA$16="Mayor"),CONCATENATE("R1C",'Mapa final'!$O$16),"")</f>
        <v/>
      </c>
      <c r="AD36" s="16" t="str">
        <f>IF(AND('Mapa final'!$Y$17="Baja",'Mapa final'!$AA$17="Mayor"),CONCATENATE("R1C",'Mapa final'!$O$17),"")</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final'!$Y$15="Baja",'Mapa final'!$AA$15="Catastrófico"),CONCATENATE("R1C",'Mapa final'!$O$15),"")</f>
        <v/>
      </c>
      <c r="AI36" s="19" t="str">
        <f>IF(AND('Mapa final'!$Y$16="Baja",'Mapa final'!$AA$16="Catastrófico"),CONCATENATE("R1C",'Mapa final'!$O$16),"")</f>
        <v/>
      </c>
      <c r="AJ36" s="19" t="str">
        <f>IF(AND('Mapa final'!$Y$17="Baja",'Mapa final'!$AA$17="Catastrófico"),CONCATENATE("R1C",'Mapa final'!$O$17),"")</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260" t="s">
        <v>88</v>
      </c>
      <c r="AP36" s="234"/>
      <c r="AQ36" s="234"/>
      <c r="AR36" s="234"/>
      <c r="AS36" s="234"/>
      <c r="AT36" s="235"/>
    </row>
    <row r="37" spans="2:46" ht="15" customHeight="1" x14ac:dyDescent="0.25">
      <c r="B37" s="253"/>
      <c r="C37" s="176"/>
      <c r="D37" s="177"/>
      <c r="E37" s="188"/>
      <c r="F37" s="176"/>
      <c r="G37" s="176"/>
      <c r="H37" s="176"/>
      <c r="I37" s="176"/>
      <c r="J37" s="45" t="str">
        <f>IF(AND('Mapa final'!$Y$18="Baja",'Mapa final'!$AA$18="Leve"),CONCATENATE("R2C",'Mapa final'!$O$18),"")</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final'!$Y$19="Baja",'Mapa final'!$AA$19="Leve"),CONCATENATE("R2C",'Mapa final'!$O$19),"")</f>
        <v/>
      </c>
      <c r="O37" s="47" t="str">
        <f>IF(AND('Mapa final'!$Y$20="Baja",'Mapa final'!$AA$20="Leve"),CONCATENATE("R2C",'Mapa final'!$O$20),"")</f>
        <v/>
      </c>
      <c r="P37" s="36" t="str">
        <f>IF(AND('Mapa final'!$Y$18="Baja",'Mapa final'!$AA$18="Menor"),CONCATENATE("R2C",'Mapa final'!$O$18),"")</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final'!$Y$19="Baja",'Mapa final'!$AA$19="Menor"),CONCATENATE("R2C",'Mapa final'!$O$19),"")</f>
        <v/>
      </c>
      <c r="U37" s="38" t="str">
        <f>IF(AND('Mapa final'!$Y$20="Baja",'Mapa final'!$AA$20="Menor"),CONCATENATE("R2C",'Mapa final'!$O$20),"")</f>
        <v/>
      </c>
      <c r="V37" s="36" t="str">
        <f>IF(AND('Mapa final'!$Y$18="Baja",'Mapa final'!$AA$18="Moderado"),CONCATENATE("R2C",'Mapa final'!$O$18),"")</f>
        <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final'!$Y$19="Baja",'Mapa final'!$AA$19="Moderado"),CONCATENATE("R2C",'Mapa final'!$O$19),"")</f>
        <v/>
      </c>
      <c r="AA37" s="38" t="str">
        <f>IF(AND('Mapa final'!$Y$20="Baja",'Mapa final'!$AA$20="Moderado"),CONCATENATE("R2C",'Mapa final'!$O$20),"")</f>
        <v/>
      </c>
      <c r="AB37" s="21" t="str">
        <f>IF(AND('Mapa final'!$Y$18="Baja",'Mapa final'!$AA$18="Mayor"),CONCATENATE("R2C",'Mapa final'!$O$18),"")</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final'!$Y$19="Baja",'Mapa final'!$AA$19="Mayor"),CONCATENATE("R2C",'Mapa final'!$O$19),"")</f>
        <v/>
      </c>
      <c r="AG37" s="23" t="str">
        <f>IF(AND('Mapa final'!$Y$20="Baja",'Mapa final'!$AA$20="Mayor"),CONCATENATE("R2C",'Mapa final'!$O$20),"")</f>
        <v/>
      </c>
      <c r="AH37" s="24" t="str">
        <f>IF(AND('Mapa final'!$Y$18="Baja",'Mapa final'!$AA$18="Catastrófico"),CONCATENATE("R2C",'Mapa final'!$O$18),"")</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final'!$Y$19="Baja",'Mapa final'!$AA$19="Catastrófico"),CONCATENATE("R2C",'Mapa final'!$O$19),"")</f>
        <v/>
      </c>
      <c r="AM37" s="26" t="str">
        <f>IF(AND('Mapa final'!$Y$20="Baja",'Mapa final'!$AA$20="Catastrófico"),CONCATENATE("R2C",'Mapa final'!$O$20),"")</f>
        <v/>
      </c>
      <c r="AN37" s="1"/>
      <c r="AO37" s="236"/>
      <c r="AP37" s="176"/>
      <c r="AQ37" s="176"/>
      <c r="AR37" s="176"/>
      <c r="AS37" s="176"/>
      <c r="AT37" s="237"/>
    </row>
    <row r="38" spans="2:46" ht="15" customHeight="1" x14ac:dyDescent="0.25">
      <c r="B38" s="253"/>
      <c r="C38" s="176"/>
      <c r="D38" s="177"/>
      <c r="E38" s="188"/>
      <c r="F38" s="176"/>
      <c r="G38" s="176"/>
      <c r="H38" s="176"/>
      <c r="I38" s="176"/>
      <c r="J38" s="45" t="str">
        <f>IF(AND('Mapa final'!$Y$21="Baja",'Mapa final'!$AA$21="Leve"),CONCATENATE("R3C",'Mapa final'!$O$21),"")</f>
        <v/>
      </c>
      <c r="K38" s="46" t="str">
        <f>IF(AND('Mapa final'!$Y$22="Baja",'Mapa final'!$AA$22="Leve"),CONCATENATE("R3C",'Mapa final'!$O$22),"")</f>
        <v/>
      </c>
      <c r="L38" s="46" t="str">
        <f>IF(AND('Mapa final'!$Y$23="Baja",'Mapa final'!$AA$23="Leve"),CONCATENATE("R3C",'Mapa final'!$O$23),"")</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final'!$Y$21="Baja",'Mapa final'!$AA$21="Menor"),CONCATENATE("R3C",'Mapa final'!$O$21),"")</f>
        <v/>
      </c>
      <c r="Q38" s="37" t="str">
        <f>IF(AND('Mapa final'!$Y$22="Baja",'Mapa final'!$AA$22="Menor"),CONCATENATE("R3C",'Mapa final'!$O$22),"")</f>
        <v/>
      </c>
      <c r="R38" s="37" t="str">
        <f>IF(AND('Mapa final'!$Y$23="Baja",'Mapa final'!$AA$23="Menor"),CONCATENATE("R3C",'Mapa final'!$O$23),"")</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final'!$Y$21="Baja",'Mapa final'!$AA$21="Moderado"),CONCATENATE("R3C",'Mapa final'!$O$21),"")</f>
        <v/>
      </c>
      <c r="W38" s="37" t="str">
        <f>IF(AND('Mapa final'!$Y$22="Baja",'Mapa final'!$AA$22="Moderado"),CONCATENATE("R3C",'Mapa final'!$O$22),"")</f>
        <v/>
      </c>
      <c r="X38" s="37" t="str">
        <f>IF(AND('Mapa final'!$Y$23="Baja",'Mapa final'!$AA$23="Moderado"),CONCATENATE("R3C",'Mapa final'!$O$23),"")</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final'!$Y$21="Baja",'Mapa final'!$AA$21="Mayor"),CONCATENATE("R3C",'Mapa final'!$O$21),"")</f>
        <v/>
      </c>
      <c r="AC38" s="22" t="str">
        <f>IF(AND('Mapa final'!$Y$22="Baja",'Mapa final'!$AA$22="Mayor"),CONCATENATE("R3C",'Mapa final'!$O$22),"")</f>
        <v/>
      </c>
      <c r="AD38" s="22" t="str">
        <f>IF(AND('Mapa final'!$Y$23="Baja",'Mapa final'!$AA$23="Mayor"),CONCATENATE("R3C",'Mapa final'!$O$23),"")</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final'!$Y$21="Baja",'Mapa final'!$AA$21="Catastrófico"),CONCATENATE("R3C",'Mapa final'!$O$21),"")</f>
        <v/>
      </c>
      <c r="AI38" s="25" t="str">
        <f>IF(AND('Mapa final'!$Y$22="Baja",'Mapa final'!$AA$22="Catastrófico"),CONCATENATE("R3C",'Mapa final'!$O$22),"")</f>
        <v/>
      </c>
      <c r="AJ38" s="25" t="str">
        <f>IF(AND('Mapa final'!$Y$23="Baja",'Mapa final'!$AA$23="Catastrófico"),CONCATENATE("R3C",'Mapa final'!$O$23),"")</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36"/>
      <c r="AP38" s="176"/>
      <c r="AQ38" s="176"/>
      <c r="AR38" s="176"/>
      <c r="AS38" s="176"/>
      <c r="AT38" s="237"/>
    </row>
    <row r="39" spans="2:46" ht="15" customHeight="1" x14ac:dyDescent="0.25">
      <c r="B39" s="253"/>
      <c r="C39" s="176"/>
      <c r="D39" s="177"/>
      <c r="E39" s="188"/>
      <c r="F39" s="176"/>
      <c r="G39" s="176"/>
      <c r="H39" s="176"/>
      <c r="I39" s="176"/>
      <c r="J39" s="45" t="str">
        <f>IF(AND('Mapa final'!$Y$24="Baja",'Mapa final'!$AA$24="Leve"),CONCATENATE("R4C",'Mapa final'!$O$24),"")</f>
        <v/>
      </c>
      <c r="K39" s="46" t="str">
        <f>IF(AND('Mapa final'!$Y$25="Baja",'Mapa final'!$AA$25="Leve"),CONCATENATE("R4C",'Mapa final'!$O$25),"")</f>
        <v/>
      </c>
      <c r="L39" s="46" t="e">
        <f>IF(AND('Mapa final'!#REF!="Baja",'Mapa final'!#REF!="Leve"),CONCATENATE("R4C",'Mapa final'!#REF!),"")</f>
        <v>#REF!</v>
      </c>
      <c r="M39" s="46" t="str">
        <f>IF(AND('Mapa final'!$Y$26="Baja",'Mapa final'!$AA$26="Leve"),CONCATENATE("R4C",'Mapa final'!$O$26),"")</f>
        <v/>
      </c>
      <c r="N39" s="46" t="e">
        <f>IF(AND('Mapa final'!#REF!="Baja",'Mapa final'!#REF!="Leve"),CONCATENATE("R4C",'Mapa final'!#REF!),"")</f>
        <v>#REF!</v>
      </c>
      <c r="O39" s="47" t="e">
        <f>IF(AND('Mapa final'!#REF!="Baja",'Mapa final'!#REF!="Leve"),CONCATENATE("R4C",'Mapa final'!#REF!),"")</f>
        <v>#REF!</v>
      </c>
      <c r="P39" s="36" t="str">
        <f>IF(AND('Mapa final'!$Y$24="Baja",'Mapa final'!$AA$24="Menor"),CONCATENATE("R4C",'Mapa final'!$O$24),"")</f>
        <v/>
      </c>
      <c r="Q39" s="37" t="str">
        <f>IF(AND('Mapa final'!$Y$25="Baja",'Mapa final'!$AA$25="Menor"),CONCATENATE("R4C",'Mapa final'!$O$25),"")</f>
        <v/>
      </c>
      <c r="R39" s="37" t="e">
        <f>IF(AND('Mapa final'!#REF!="Baja",'Mapa final'!#REF!="Menor"),CONCATENATE("R4C",'Mapa final'!#REF!),"")</f>
        <v>#REF!</v>
      </c>
      <c r="S39" s="37" t="str">
        <f>IF(AND('Mapa final'!$Y$26="Baja",'Mapa final'!$AA$26="Menor"),CONCATENATE("R4C",'Mapa final'!$O$26),"")</f>
        <v/>
      </c>
      <c r="T39" s="37" t="e">
        <f>IF(AND('Mapa final'!#REF!="Baja",'Mapa final'!#REF!="Menor"),CONCATENATE("R4C",'Mapa final'!#REF!),"")</f>
        <v>#REF!</v>
      </c>
      <c r="U39" s="38" t="e">
        <f>IF(AND('Mapa final'!#REF!="Baja",'Mapa final'!#REF!="Menor"),CONCATENATE("R4C",'Mapa final'!#REF!),"")</f>
        <v>#REF!</v>
      </c>
      <c r="V39" s="36" t="str">
        <f>IF(AND('Mapa final'!$Y$24="Baja",'Mapa final'!$AA$24="Moderado"),CONCATENATE("R4C",'Mapa final'!$O$24),"")</f>
        <v/>
      </c>
      <c r="W39" s="37" t="str">
        <f>IF(AND('Mapa final'!$Y$25="Baja",'Mapa final'!$AA$25="Moderado"),CONCATENATE("R4C",'Mapa final'!$O$25),"")</f>
        <v/>
      </c>
      <c r="X39" s="37" t="e">
        <f>IF(AND('Mapa final'!#REF!="Baja",'Mapa final'!#REF!="Moderado"),CONCATENATE("R4C",'Mapa final'!#REF!),"")</f>
        <v>#REF!</v>
      </c>
      <c r="Y39" s="37" t="str">
        <f>IF(AND('Mapa final'!$Y$26="Baja",'Mapa final'!$AA$26="Moderado"),CONCATENATE("R4C",'Mapa final'!$O$26),"")</f>
        <v/>
      </c>
      <c r="Z39" s="37" t="e">
        <f>IF(AND('Mapa final'!#REF!="Baja",'Mapa final'!#REF!="Moderado"),CONCATENATE("R4C",'Mapa final'!#REF!),"")</f>
        <v>#REF!</v>
      </c>
      <c r="AA39" s="38" t="e">
        <f>IF(AND('Mapa final'!#REF!="Baja",'Mapa final'!#REF!="Moderado"),CONCATENATE("R4C",'Mapa final'!#REF!),"")</f>
        <v>#REF!</v>
      </c>
      <c r="AB39" s="21" t="str">
        <f>IF(AND('Mapa final'!$Y$24="Baja",'Mapa final'!$AA$24="Mayor"),CONCATENATE("R4C",'Mapa final'!$O$24),"")</f>
        <v/>
      </c>
      <c r="AC39" s="22" t="str">
        <f>IF(AND('Mapa final'!$Y$25="Baja",'Mapa final'!$AA$25="Mayor"),CONCATENATE("R4C",'Mapa final'!$O$25),"")</f>
        <v/>
      </c>
      <c r="AD39" s="22" t="e">
        <f>IF(AND('Mapa final'!#REF!="Baja",'Mapa final'!#REF!="Mayor"),CONCATENATE("R4C",'Mapa final'!#REF!),"")</f>
        <v>#REF!</v>
      </c>
      <c r="AE39" s="22" t="str">
        <f>IF(AND('Mapa final'!$Y$26="Baja",'Mapa final'!$AA$26="Mayor"),CONCATENATE("R4C",'Mapa final'!$O$26),"")</f>
        <v/>
      </c>
      <c r="AF39" s="22" t="e">
        <f>IF(AND('Mapa final'!#REF!="Baja",'Mapa final'!#REF!="Mayor"),CONCATENATE("R4C",'Mapa final'!#REF!),"")</f>
        <v>#REF!</v>
      </c>
      <c r="AG39" s="23" t="e">
        <f>IF(AND('Mapa final'!#REF!="Baja",'Mapa final'!#REF!="Mayor"),CONCATENATE("R4C",'Mapa final'!#REF!),"")</f>
        <v>#REF!</v>
      </c>
      <c r="AH39" s="24" t="str">
        <f>IF(AND('Mapa final'!$Y$24="Baja",'Mapa final'!$AA$24="Catastrófico"),CONCATENATE("R4C",'Mapa final'!$O$24),"")</f>
        <v/>
      </c>
      <c r="AI39" s="25" t="str">
        <f>IF(AND('Mapa final'!$Y$25="Baja",'Mapa final'!$AA$25="Catastrófico"),CONCATENATE("R4C",'Mapa final'!$O$25),"")</f>
        <v/>
      </c>
      <c r="AJ39" s="25" t="e">
        <f>IF(AND('Mapa final'!#REF!="Baja",'Mapa final'!#REF!="Catastrófico"),CONCATENATE("R4C",'Mapa final'!#REF!),"")</f>
        <v>#REF!</v>
      </c>
      <c r="AK39" s="25" t="str">
        <f>IF(AND('Mapa final'!$Y$26="Baja",'Mapa final'!$AA$26="Catastrófico"),CONCATENATE("R4C",'Mapa final'!$O$26),"")</f>
        <v/>
      </c>
      <c r="AL39" s="25" t="e">
        <f>IF(AND('Mapa final'!#REF!="Baja",'Mapa final'!#REF!="Catastrófico"),CONCATENATE("R4C",'Mapa final'!#REF!),"")</f>
        <v>#REF!</v>
      </c>
      <c r="AM39" s="26" t="e">
        <f>IF(AND('Mapa final'!#REF!="Baja",'Mapa final'!#REF!="Catastrófico"),CONCATENATE("R4C",'Mapa final'!#REF!),"")</f>
        <v>#REF!</v>
      </c>
      <c r="AN39" s="1"/>
      <c r="AO39" s="236"/>
      <c r="AP39" s="176"/>
      <c r="AQ39" s="176"/>
      <c r="AR39" s="176"/>
      <c r="AS39" s="176"/>
      <c r="AT39" s="237"/>
    </row>
    <row r="40" spans="2:46" ht="15" customHeight="1" x14ac:dyDescent="0.25">
      <c r="B40" s="253"/>
      <c r="C40" s="176"/>
      <c r="D40" s="177"/>
      <c r="E40" s="188"/>
      <c r="F40" s="176"/>
      <c r="G40" s="176"/>
      <c r="H40" s="176"/>
      <c r="I40" s="176"/>
      <c r="J40" s="45" t="str">
        <f>IF(AND('Mapa final'!$Y$27="Baja",'Mapa final'!$AA$27="Leve"),CONCATENATE("R5C",'Mapa final'!$O$27),"")</f>
        <v/>
      </c>
      <c r="K40" s="46" t="str">
        <f>IF(AND('Mapa final'!$Y$28="Baja",'Mapa final'!$AA$28="Leve"),CONCATENATE("R5C",'Mapa final'!$O$28),"")</f>
        <v/>
      </c>
      <c r="L40" s="46" t="str">
        <f>IF(AND('Mapa final'!$Y$29="Baja",'Mapa final'!$AA$29="Leve"),CONCATENATE("R5C",'Mapa final'!$O$29),"")</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final'!$Y$27="Baja",'Mapa final'!$AA$27="Menor"),CONCATENATE("R5C",'Mapa final'!$O$27),"")</f>
        <v/>
      </c>
      <c r="Q40" s="37" t="str">
        <f>IF(AND('Mapa final'!$Y$28="Baja",'Mapa final'!$AA$28="Menor"),CONCATENATE("R5C",'Mapa final'!$O$28),"")</f>
        <v/>
      </c>
      <c r="R40" s="37" t="str">
        <f>IF(AND('Mapa final'!$Y$29="Baja",'Mapa final'!$AA$29="Menor"),CONCATENATE("R5C",'Mapa final'!$O$29),"")</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final'!$Y$27="Baja",'Mapa final'!$AA$27="Moderado"),CONCATENATE("R5C",'Mapa final'!$O$27),"")</f>
        <v/>
      </c>
      <c r="W40" s="37" t="str">
        <f>IF(AND('Mapa final'!$Y$28="Baja",'Mapa final'!$AA$28="Moderado"),CONCATENATE("R5C",'Mapa final'!$O$28),"")</f>
        <v/>
      </c>
      <c r="X40" s="37" t="str">
        <f>IF(AND('Mapa final'!$Y$29="Baja",'Mapa final'!$AA$29="Moderado"),CONCATENATE("R5C",'Mapa final'!$O$29),"")</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final'!$Y$27="Baja",'Mapa final'!$AA$27="Mayor"),CONCATENATE("R5C",'Mapa final'!$O$27),"")</f>
        <v/>
      </c>
      <c r="AC40" s="22" t="str">
        <f>IF(AND('Mapa final'!$Y$28="Baja",'Mapa final'!$AA$28="Mayor"),CONCATENATE("R5C",'Mapa final'!$O$28),"")</f>
        <v/>
      </c>
      <c r="AD40" s="22" t="str">
        <f>IF(AND('Mapa final'!$Y$29="Baja",'Mapa final'!$AA$29="Mayor"),CONCATENATE("R5C",'Mapa final'!$O$29),"")</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final'!$Y$27="Baja",'Mapa final'!$AA$27="Catastrófico"),CONCATENATE("R5C",'Mapa final'!$O$27),"")</f>
        <v/>
      </c>
      <c r="AI40" s="25" t="str">
        <f>IF(AND('Mapa final'!$Y$28="Baja",'Mapa final'!$AA$28="Catastrófico"),CONCATENATE("R5C",'Mapa final'!$O$28),"")</f>
        <v/>
      </c>
      <c r="AJ40" s="25" t="str">
        <f>IF(AND('Mapa final'!$Y$29="Baja",'Mapa final'!$AA$29="Catastrófico"),CONCATENATE("R5C",'Mapa final'!$O$29),"")</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36"/>
      <c r="AP40" s="176"/>
      <c r="AQ40" s="176"/>
      <c r="AR40" s="176"/>
      <c r="AS40" s="176"/>
      <c r="AT40" s="237"/>
    </row>
    <row r="41" spans="2:46" ht="15" customHeight="1" x14ac:dyDescent="0.25">
      <c r="B41" s="253"/>
      <c r="C41" s="176"/>
      <c r="D41" s="177"/>
      <c r="E41" s="188"/>
      <c r="F41" s="176"/>
      <c r="G41" s="176"/>
      <c r="H41" s="176"/>
      <c r="I41" s="176"/>
      <c r="J41" s="45" t="str">
        <f>IF(AND('Mapa final'!$Y$30="Baja",'Mapa final'!$AA$30="Leve"),CONCATENATE("R6C",'Mapa final'!$O$30),"")</f>
        <v/>
      </c>
      <c r="K41" s="46" t="str">
        <f>IF(AND('Mapa final'!$Y$31="Baja",'Mapa final'!$AA$31="Leve"),CONCATENATE("R6C",'Mapa final'!$O$31),"")</f>
        <v/>
      </c>
      <c r="L41" s="46" t="str">
        <f>IF(AND('Mapa final'!$Y$32="Baja",'Mapa final'!$AA$32="Leve"),CONCATENATE("R6C",'Mapa final'!$O$32),"")</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final'!$Y$30="Baja",'Mapa final'!$AA$30="Menor"),CONCATENATE("R6C",'Mapa final'!$O$30),"")</f>
        <v/>
      </c>
      <c r="Q41" s="37" t="str">
        <f>IF(AND('Mapa final'!$Y$31="Baja",'Mapa final'!$AA$31="Menor"),CONCATENATE("R6C",'Mapa final'!$O$31),"")</f>
        <v/>
      </c>
      <c r="R41" s="37" t="str">
        <f>IF(AND('Mapa final'!$Y$32="Baja",'Mapa final'!$AA$32="Menor"),CONCATENATE("R6C",'Mapa final'!$O$32),"")</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final'!$Y$30="Baja",'Mapa final'!$AA$30="Moderado"),CONCATENATE("R6C",'Mapa final'!$O$30),"")</f>
        <v/>
      </c>
      <c r="W41" s="37" t="str">
        <f>IF(AND('Mapa final'!$Y$31="Baja",'Mapa final'!$AA$31="Moderado"),CONCATENATE("R6C",'Mapa final'!$O$31),"")</f>
        <v/>
      </c>
      <c r="X41" s="37" t="str">
        <f>IF(AND('Mapa final'!$Y$32="Baja",'Mapa final'!$AA$32="Moderado"),CONCATENATE("R6C",'Mapa final'!$O$32),"")</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final'!$Y$30="Baja",'Mapa final'!$AA$30="Mayor"),CONCATENATE("R6C",'Mapa final'!$O$30),"")</f>
        <v/>
      </c>
      <c r="AC41" s="22" t="str">
        <f>IF(AND('Mapa final'!$Y$31="Baja",'Mapa final'!$AA$31="Mayor"),CONCATENATE("R6C",'Mapa final'!$O$31),"")</f>
        <v/>
      </c>
      <c r="AD41" s="22" t="str">
        <f>IF(AND('Mapa final'!$Y$32="Baja",'Mapa final'!$AA$32="Mayor"),CONCATENATE("R6C",'Mapa final'!$O$32),"")</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final'!$Y$30="Baja",'Mapa final'!$AA$30="Catastrófico"),CONCATENATE("R6C",'Mapa final'!$O$30),"")</f>
        <v/>
      </c>
      <c r="AI41" s="25" t="str">
        <f>IF(AND('Mapa final'!$Y$31="Baja",'Mapa final'!$AA$31="Catastrófico"),CONCATENATE("R6C",'Mapa final'!$O$31),"")</f>
        <v/>
      </c>
      <c r="AJ41" s="25" t="str">
        <f>IF(AND('Mapa final'!$Y$32="Baja",'Mapa final'!$AA$32="Catastrófico"),CONCATENATE("R6C",'Mapa final'!$O$32),"")</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36"/>
      <c r="AP41" s="176"/>
      <c r="AQ41" s="176"/>
      <c r="AR41" s="176"/>
      <c r="AS41" s="176"/>
      <c r="AT41" s="237"/>
    </row>
    <row r="42" spans="2:46" ht="15" customHeight="1" x14ac:dyDescent="0.25">
      <c r="B42" s="253"/>
      <c r="C42" s="176"/>
      <c r="D42" s="177"/>
      <c r="E42" s="188"/>
      <c r="F42" s="176"/>
      <c r="G42" s="176"/>
      <c r="H42" s="176"/>
      <c r="I42" s="176"/>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36"/>
      <c r="AP42" s="176"/>
      <c r="AQ42" s="176"/>
      <c r="AR42" s="176"/>
      <c r="AS42" s="176"/>
      <c r="AT42" s="237"/>
    </row>
    <row r="43" spans="2:46" ht="15" customHeight="1" x14ac:dyDescent="0.25">
      <c r="B43" s="253"/>
      <c r="C43" s="176"/>
      <c r="D43" s="177"/>
      <c r="E43" s="188"/>
      <c r="F43" s="176"/>
      <c r="G43" s="176"/>
      <c r="H43" s="176"/>
      <c r="I43" s="176"/>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36"/>
      <c r="AP43" s="176"/>
      <c r="AQ43" s="176"/>
      <c r="AR43" s="176"/>
      <c r="AS43" s="176"/>
      <c r="AT43" s="237"/>
    </row>
    <row r="44" spans="2:46" ht="15" customHeight="1" x14ac:dyDescent="0.25">
      <c r="B44" s="253"/>
      <c r="C44" s="176"/>
      <c r="D44" s="177"/>
      <c r="E44" s="188"/>
      <c r="F44" s="176"/>
      <c r="G44" s="176"/>
      <c r="H44" s="176"/>
      <c r="I44" s="176"/>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36"/>
      <c r="AP44" s="176"/>
      <c r="AQ44" s="176"/>
      <c r="AR44" s="176"/>
      <c r="AS44" s="176"/>
      <c r="AT44" s="237"/>
    </row>
    <row r="45" spans="2:46" ht="15.75" customHeight="1" x14ac:dyDescent="0.25">
      <c r="B45" s="253"/>
      <c r="C45" s="176"/>
      <c r="D45" s="177"/>
      <c r="E45" s="222"/>
      <c r="F45" s="246"/>
      <c r="G45" s="246"/>
      <c r="H45" s="246"/>
      <c r="I45" s="246"/>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38"/>
      <c r="AP45" s="239"/>
      <c r="AQ45" s="239"/>
      <c r="AR45" s="239"/>
      <c r="AS45" s="239"/>
      <c r="AT45" s="240"/>
    </row>
    <row r="46" spans="2:46" ht="46.5" customHeight="1" x14ac:dyDescent="0.35">
      <c r="B46" s="253"/>
      <c r="C46" s="176"/>
      <c r="D46" s="177"/>
      <c r="E46" s="261" t="s">
        <v>89</v>
      </c>
      <c r="F46" s="245"/>
      <c r="G46" s="245"/>
      <c r="H46" s="245"/>
      <c r="I46" s="227"/>
      <c r="J46" s="42" t="str">
        <f>IF(AND('Mapa final'!$Y$15="Muy Baja",'Mapa final'!$AA$15="Leve"),CONCATENATE("R1C",'Mapa final'!$O$15),"")</f>
        <v/>
      </c>
      <c r="K46" s="43" t="str">
        <f>IF(AND('Mapa final'!$Y$16="Muy Baja",'Mapa final'!$AA$16="Leve"),CONCATENATE("R1C",'Mapa final'!$O$16),"")</f>
        <v/>
      </c>
      <c r="L46" s="43" t="str">
        <f>IF(AND('Mapa final'!$Y$17="Muy Baja",'Mapa final'!$AA$17="Leve"),CONCATENATE("R1C",'Mapa final'!$O$17),"")</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final'!$Y$15="Muy Baja",'Mapa final'!$AA$15="Menor"),CONCATENATE("R1C",'Mapa final'!$O$15),"")</f>
        <v/>
      </c>
      <c r="Q46" s="43" t="str">
        <f>IF(AND('Mapa final'!$Y$16="Muy Baja",'Mapa final'!$AA$16="Menor"),CONCATENATE("R1C",'Mapa final'!$O$16),"")</f>
        <v/>
      </c>
      <c r="R46" s="43" t="str">
        <f>IF(AND('Mapa final'!$Y$17="Muy Baja",'Mapa final'!$AA$17="Menor"),CONCATENATE("R1C",'Mapa final'!$O$17),"")</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final'!$Y$15="Muy Baja",'Mapa final'!$AA$15="Moderado"),CONCATENATE("R1C",'Mapa final'!$O$15),"")</f>
        <v/>
      </c>
      <c r="W46" s="51" t="str">
        <f>IF(AND('Mapa final'!$Y$16="Muy Baja",'Mapa final'!$AA$16="Moderado"),CONCATENATE("R1C",'Mapa final'!$O$16),"")</f>
        <v/>
      </c>
      <c r="X46" s="34" t="str">
        <f>IF(AND('Mapa final'!$Y$17="Muy Baja",'Mapa final'!$AA$17="Moderado"),CONCATENATE("R1C",'Mapa final'!$O$17),"")</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final'!$Y$15="Muy Baja",'Mapa final'!$AA$15="Mayor"),CONCATENATE("R1C",'Mapa final'!$O$15),"")</f>
        <v/>
      </c>
      <c r="AC46" s="16" t="str">
        <f>IF(AND('Mapa final'!$Y$16="Muy Baja",'Mapa final'!$AA$16="Mayor"),CONCATENATE("R1C",'Mapa final'!$O$16),"")</f>
        <v/>
      </c>
      <c r="AD46" s="16" t="str">
        <f>IF(AND('Mapa final'!$Y$17="Muy Baja",'Mapa final'!$AA$17="Mayor"),CONCATENATE("R1C",'Mapa final'!$O$17),"")</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final'!$Y$15="Muy Baja",'Mapa final'!$AA$15="Catastrófico"),CONCATENATE("R1C",'Mapa final'!$O$15),"")</f>
        <v/>
      </c>
      <c r="AI46" s="19" t="str">
        <f>IF(AND('Mapa final'!$Y$16="Muy Baja",'Mapa final'!$AA$16="Catastrófico"),CONCATENATE("R1C",'Mapa final'!$O$16),"")</f>
        <v/>
      </c>
      <c r="AJ46" s="19" t="str">
        <f>IF(AND('Mapa final'!$Y$17="Muy Baja",'Mapa final'!$AA$17="Catastrófico"),CONCATENATE("R1C",'Mapa final'!$O$17),"")</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253"/>
      <c r="C47" s="176"/>
      <c r="D47" s="177"/>
      <c r="E47" s="188"/>
      <c r="F47" s="176"/>
      <c r="G47" s="176"/>
      <c r="H47" s="176"/>
      <c r="I47" s="177"/>
      <c r="J47" s="45" t="str">
        <f>IF(AND('Mapa final'!$Y$18="Muy Baja",'Mapa final'!$AA$18="Leve"),CONCATENATE("R2C",'Mapa final'!$O$18),"")</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final'!$Y$19="Muy Baja",'Mapa final'!$AA$19="Leve"),CONCATENATE("R2C",'Mapa final'!$O$19),"")</f>
        <v/>
      </c>
      <c r="O47" s="47" t="str">
        <f>IF(AND('Mapa final'!$Y$20="Muy Baja",'Mapa final'!$AA$20="Leve"),CONCATENATE("R2C",'Mapa final'!$O$20),"")</f>
        <v/>
      </c>
      <c r="P47" s="45" t="str">
        <f>IF(AND('Mapa final'!$Y$18="Muy Baja",'Mapa final'!$AA$18="Menor"),CONCATENATE("R2C",'Mapa final'!$O$18),"")</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final'!$Y$19="Muy Baja",'Mapa final'!$AA$19="Menor"),CONCATENATE("R2C",'Mapa final'!$O$19),"")</f>
        <v/>
      </c>
      <c r="U47" s="47" t="str">
        <f>IF(AND('Mapa final'!$Y$20="Muy Baja",'Mapa final'!$AA$20="Menor"),CONCATENATE("R2C",'Mapa final'!$O$20),"")</f>
        <v/>
      </c>
      <c r="V47" s="36" t="str">
        <f>IF(AND('Mapa final'!$Y$18="Muy Baja",'Mapa final'!$AA$18="Moderado"),CONCATENATE("R2C",'Mapa final'!$O$18),"")</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final'!$Y$19="Muy Baja",'Mapa final'!$AA$19="Moderado"),CONCATENATE("R2C",'Mapa final'!$O$19),"")</f>
        <v/>
      </c>
      <c r="AA47" s="38" t="str">
        <f>IF(AND('Mapa final'!$Y$20="Muy Baja",'Mapa final'!$AA$20="Moderado"),CONCATENATE("R2C",'Mapa final'!$O$20),"")</f>
        <v/>
      </c>
      <c r="AB47" s="21" t="str">
        <f>IF(AND('Mapa final'!$Y$18="Muy Baja",'Mapa final'!$AA$18="Mayor"),CONCATENATE("R2C",'Mapa final'!$O$18),"")</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final'!$Y$19="Muy Baja",'Mapa final'!$AA$19="Mayor"),CONCATENATE("R2C",'Mapa final'!$O$19),"")</f>
        <v/>
      </c>
      <c r="AG47" s="23" t="str">
        <f>IF(AND('Mapa final'!$Y$20="Muy Baja",'Mapa final'!$AA$20="Mayor"),CONCATENATE("R2C",'Mapa final'!$O$20),"")</f>
        <v/>
      </c>
      <c r="AH47" s="24" t="str">
        <f>IF(AND('Mapa final'!$Y$18="Muy Baja",'Mapa final'!$AA$18="Catastrófico"),CONCATENATE("R2C",'Mapa final'!$O$18),"")</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final'!$Y$19="Muy Baja",'Mapa final'!$AA$19="Catastrófico"),CONCATENATE("R2C",'Mapa final'!$O$19),"")</f>
        <v/>
      </c>
      <c r="AM47" s="26" t="str">
        <f>IF(AND('Mapa final'!$Y$20="Muy Baja",'Mapa final'!$AA$20="Catastrófico"),CONCATENATE("R2C",'Mapa final'!$O$20),"")</f>
        <v/>
      </c>
      <c r="AN47" s="1"/>
      <c r="AO47" s="1"/>
      <c r="AP47" s="1"/>
      <c r="AQ47" s="1"/>
      <c r="AR47" s="1"/>
      <c r="AS47" s="1"/>
      <c r="AT47" s="1"/>
    </row>
    <row r="48" spans="2:46" ht="15" customHeight="1" x14ac:dyDescent="0.25">
      <c r="B48" s="253"/>
      <c r="C48" s="176"/>
      <c r="D48" s="177"/>
      <c r="E48" s="188"/>
      <c r="F48" s="176"/>
      <c r="G48" s="176"/>
      <c r="H48" s="176"/>
      <c r="I48" s="177"/>
      <c r="J48" s="45" t="str">
        <f>IF(AND('Mapa final'!$Y$21="Muy Baja",'Mapa final'!$AA$21="Leve"),CONCATENATE("R3C",'Mapa final'!$O$21),"")</f>
        <v/>
      </c>
      <c r="K48" s="46" t="str">
        <f>IF(AND('Mapa final'!$Y$22="Muy Baja",'Mapa final'!$AA$22="Leve"),CONCATENATE("R3C",'Mapa final'!$O$22),"")</f>
        <v/>
      </c>
      <c r="L48" s="46" t="str">
        <f>IF(AND('Mapa final'!$Y$23="Muy Baja",'Mapa final'!$AA$23="Leve"),CONCATENATE("R3C",'Mapa final'!$O$23),"")</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final'!$Y$21="Muy Baja",'Mapa final'!$AA$21="Menor"),CONCATENATE("R3C",'Mapa final'!$O$21),"")</f>
        <v/>
      </c>
      <c r="Q48" s="46" t="str">
        <f>IF(AND('Mapa final'!$Y$22="Muy Baja",'Mapa final'!$AA$22="Menor"),CONCATENATE("R3C",'Mapa final'!$O$22),"")</f>
        <v/>
      </c>
      <c r="R48" s="46" t="str">
        <f>IF(AND('Mapa final'!$Y$23="Muy Baja",'Mapa final'!$AA$23="Menor"),CONCATENATE("R3C",'Mapa final'!$O$23),"")</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final'!$Y$21="Muy Baja",'Mapa final'!$AA$21="Moderado"),CONCATENATE("R3C",'Mapa final'!$O$21),"")</f>
        <v/>
      </c>
      <c r="W48" s="37" t="str">
        <f>IF(AND('Mapa final'!$Y$22="Muy Baja",'Mapa final'!$AA$22="Moderado"),CONCATENATE("R3C",'Mapa final'!$O$22),"")</f>
        <v/>
      </c>
      <c r="X48" s="37" t="str">
        <f>IF(AND('Mapa final'!$Y$23="Muy Baja",'Mapa final'!$AA$23="Moderado"),CONCATENATE("R3C",'Mapa final'!$O$23),"")</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final'!$Y$21="Muy Baja",'Mapa final'!$AA$21="Mayor"),CONCATENATE("R3C",'Mapa final'!$O$21),"")</f>
        <v/>
      </c>
      <c r="AC48" s="22" t="str">
        <f>IF(AND('Mapa final'!$Y$22="Muy Baja",'Mapa final'!$AA$22="Mayor"),CONCATENATE("R3C",'Mapa final'!$O$22),"")</f>
        <v/>
      </c>
      <c r="AD48" s="22" t="str">
        <f>IF(AND('Mapa final'!$Y$23="Muy Baja",'Mapa final'!$AA$23="Mayor"),CONCATENATE("R3C",'Mapa final'!$O$23),"")</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final'!$Y$21="Muy Baja",'Mapa final'!$AA$21="Catastrófico"),CONCATENATE("R3C",'Mapa final'!$O$21),"")</f>
        <v/>
      </c>
      <c r="AI48" s="25" t="str">
        <f>IF(AND('Mapa final'!$Y$22="Muy Baja",'Mapa final'!$AA$22="Catastrófico"),CONCATENATE("R3C",'Mapa final'!$O$22),"")</f>
        <v/>
      </c>
      <c r="AJ48" s="25" t="str">
        <f>IF(AND('Mapa final'!$Y$23="Muy Baja",'Mapa final'!$AA$23="Catastrófico"),CONCATENATE("R3C",'Mapa final'!$O$23),"")</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253"/>
      <c r="C49" s="176"/>
      <c r="D49" s="177"/>
      <c r="E49" s="188"/>
      <c r="F49" s="176"/>
      <c r="G49" s="176"/>
      <c r="H49" s="176"/>
      <c r="I49" s="177"/>
      <c r="J49" s="45" t="str">
        <f>IF(AND('Mapa final'!$Y$24="Muy Baja",'Mapa final'!$AA$24="Leve"),CONCATENATE("R4C",'Mapa final'!$O$24),"")</f>
        <v/>
      </c>
      <c r="K49" s="46" t="str">
        <f>IF(AND('Mapa final'!$Y$25="Muy Baja",'Mapa final'!$AA$25="Leve"),CONCATENATE("R4C",'Mapa final'!$O$25),"")</f>
        <v/>
      </c>
      <c r="L49" s="46" t="e">
        <f>IF(AND('Mapa final'!#REF!="Muy Baja",'Mapa final'!#REF!="Leve"),CONCATENATE("R4C",'Mapa final'!#REF!),"")</f>
        <v>#REF!</v>
      </c>
      <c r="M49" s="46" t="str">
        <f>IF(AND('Mapa final'!$Y$26="Muy Baja",'Mapa final'!$AA$26="Leve"),CONCATENATE("R4C",'Mapa final'!$O$26),"")</f>
        <v/>
      </c>
      <c r="N49" s="46" t="e">
        <f>IF(AND('Mapa final'!#REF!="Muy Baja",'Mapa final'!#REF!="Leve"),CONCATENATE("R4C",'Mapa final'!#REF!),"")</f>
        <v>#REF!</v>
      </c>
      <c r="O49" s="47" t="e">
        <f>IF(AND('Mapa final'!#REF!="Muy Baja",'Mapa final'!#REF!="Leve"),CONCATENATE("R4C",'Mapa final'!#REF!),"")</f>
        <v>#REF!</v>
      </c>
      <c r="P49" s="45" t="str">
        <f>IF(AND('Mapa final'!$Y$24="Muy Baja",'Mapa final'!$AA$24="Menor"),CONCATENATE("R4C",'Mapa final'!$O$24),"")</f>
        <v/>
      </c>
      <c r="Q49" s="46" t="str">
        <f>IF(AND('Mapa final'!$Y$25="Muy Baja",'Mapa final'!$AA$25="Menor"),CONCATENATE("R4C",'Mapa final'!$O$25),"")</f>
        <v/>
      </c>
      <c r="R49" s="46" t="e">
        <f>IF(AND('Mapa final'!#REF!="Muy Baja",'Mapa final'!#REF!="Menor"),CONCATENATE("R4C",'Mapa final'!#REF!),"")</f>
        <v>#REF!</v>
      </c>
      <c r="S49" s="46" t="str">
        <f>IF(AND('Mapa final'!$Y$26="Muy Baja",'Mapa final'!$AA$26="Menor"),CONCATENATE("R4C",'Mapa final'!$O$26),"")</f>
        <v/>
      </c>
      <c r="T49" s="46" t="e">
        <f>IF(AND('Mapa final'!#REF!="Muy Baja",'Mapa final'!#REF!="Menor"),CONCATENATE("R4C",'Mapa final'!#REF!),"")</f>
        <v>#REF!</v>
      </c>
      <c r="U49" s="47" t="e">
        <f>IF(AND('Mapa final'!#REF!="Muy Baja",'Mapa final'!#REF!="Menor"),CONCATENATE("R4C",'Mapa final'!#REF!),"")</f>
        <v>#REF!</v>
      </c>
      <c r="V49" s="36" t="str">
        <f>IF(AND('Mapa final'!$Y$24="Muy Baja",'Mapa final'!$AA$24="Moderado"),CONCATENATE("R4C",'Mapa final'!$O$24),"")</f>
        <v/>
      </c>
      <c r="W49" s="37" t="str">
        <f>IF(AND('Mapa final'!$Y$25="Muy Baja",'Mapa final'!$AA$25="Moderado"),CONCATENATE("R4C",'Mapa final'!$O$25),"")</f>
        <v/>
      </c>
      <c r="X49" s="37" t="e">
        <f>IF(AND('Mapa final'!#REF!="Muy Baja",'Mapa final'!#REF!="Moderado"),CONCATENATE("R4C",'Mapa final'!#REF!),"")</f>
        <v>#REF!</v>
      </c>
      <c r="Y49" s="37" t="str">
        <f>IF(AND('Mapa final'!$Y$26="Muy Baja",'Mapa final'!$AA$26="Moderado"),CONCATENATE("R4C",'Mapa final'!$O$26),"")</f>
        <v/>
      </c>
      <c r="Z49" s="37" t="e">
        <f>IF(AND('Mapa final'!#REF!="Muy Baja",'Mapa final'!#REF!="Moderado"),CONCATENATE("R4C",'Mapa final'!#REF!),"")</f>
        <v>#REF!</v>
      </c>
      <c r="AA49" s="38" t="e">
        <f>IF(AND('Mapa final'!#REF!="Muy Baja",'Mapa final'!#REF!="Moderado"),CONCATENATE("R4C",'Mapa final'!#REF!),"")</f>
        <v>#REF!</v>
      </c>
      <c r="AB49" s="21" t="str">
        <f>IF(AND('Mapa final'!$Y$24="Muy Baja",'Mapa final'!$AA$24="Mayor"),CONCATENATE("R4C",'Mapa final'!$O$24),"")</f>
        <v/>
      </c>
      <c r="AC49" s="22" t="str">
        <f>IF(AND('Mapa final'!$Y$25="Muy Baja",'Mapa final'!$AA$25="Mayor"),CONCATENATE("R4C",'Mapa final'!$O$25),"")</f>
        <v/>
      </c>
      <c r="AD49" s="22" t="e">
        <f>IF(AND('Mapa final'!#REF!="Muy Baja",'Mapa final'!#REF!="Mayor"),CONCATENATE("R4C",'Mapa final'!#REF!),"")</f>
        <v>#REF!</v>
      </c>
      <c r="AE49" s="22" t="str">
        <f>IF(AND('Mapa final'!$Y$26="Muy Baja",'Mapa final'!$AA$26="Mayor"),CONCATENATE("R4C",'Mapa final'!$O$26),"")</f>
        <v/>
      </c>
      <c r="AF49" s="22" t="e">
        <f>IF(AND('Mapa final'!#REF!="Muy Baja",'Mapa final'!#REF!="Mayor"),CONCATENATE("R4C",'Mapa final'!#REF!),"")</f>
        <v>#REF!</v>
      </c>
      <c r="AG49" s="23" t="e">
        <f>IF(AND('Mapa final'!#REF!="Muy Baja",'Mapa final'!#REF!="Mayor"),CONCATENATE("R4C",'Mapa final'!#REF!),"")</f>
        <v>#REF!</v>
      </c>
      <c r="AH49" s="24" t="str">
        <f>IF(AND('Mapa final'!$Y$24="Muy Baja",'Mapa final'!$AA$24="Catastrófico"),CONCATENATE("R4C",'Mapa final'!$O$24),"")</f>
        <v/>
      </c>
      <c r="AI49" s="25" t="str">
        <f>IF(AND('Mapa final'!$Y$25="Muy Baja",'Mapa final'!$AA$25="Catastrófico"),CONCATENATE("R4C",'Mapa final'!$O$25),"")</f>
        <v/>
      </c>
      <c r="AJ49" s="25" t="e">
        <f>IF(AND('Mapa final'!#REF!="Muy Baja",'Mapa final'!#REF!="Catastrófico"),CONCATENATE("R4C",'Mapa final'!#REF!),"")</f>
        <v>#REF!</v>
      </c>
      <c r="AK49" s="25" t="str">
        <f>IF(AND('Mapa final'!$Y$26="Muy Baja",'Mapa final'!$AA$26="Catastrófico"),CONCATENATE("R4C",'Mapa final'!$O$26),"")</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253"/>
      <c r="C50" s="176"/>
      <c r="D50" s="177"/>
      <c r="E50" s="188"/>
      <c r="F50" s="176"/>
      <c r="G50" s="176"/>
      <c r="H50" s="176"/>
      <c r="I50" s="177"/>
      <c r="J50" s="45" t="str">
        <f>IF(AND('Mapa final'!$Y$27="Muy Baja",'Mapa final'!$AA$27="Leve"),CONCATENATE("R5C",'Mapa final'!$O$27),"")</f>
        <v/>
      </c>
      <c r="K50" s="46" t="str">
        <f>IF(AND('Mapa final'!$Y$28="Muy Baja",'Mapa final'!$AA$28="Leve"),CONCATENATE("R5C",'Mapa final'!$O$28),"")</f>
        <v/>
      </c>
      <c r="L50" s="46" t="str">
        <f>IF(AND('Mapa final'!$Y$29="Muy Baja",'Mapa final'!$AA$29="Leve"),CONCATENATE("R5C",'Mapa final'!$O$29),"")</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final'!$Y$27="Muy Baja",'Mapa final'!$AA$27="Menor"),CONCATENATE("R5C",'Mapa final'!$O$27),"")</f>
        <v/>
      </c>
      <c r="Q50" s="46" t="str">
        <f>IF(AND('Mapa final'!$Y$28="Muy Baja",'Mapa final'!$AA$28="Menor"),CONCATENATE("R5C",'Mapa final'!$O$28),"")</f>
        <v/>
      </c>
      <c r="R50" s="46" t="str">
        <f>IF(AND('Mapa final'!$Y$29="Muy Baja",'Mapa final'!$AA$29="Menor"),CONCATENATE("R5C",'Mapa final'!$O$29),"")</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final'!$Y$27="Muy Baja",'Mapa final'!$AA$27="Moderado"),CONCATENATE("R5C",'Mapa final'!$O$27),"")</f>
        <v/>
      </c>
      <c r="W50" s="37" t="str">
        <f>IF(AND('Mapa final'!$Y$28="Muy Baja",'Mapa final'!$AA$28="Moderado"),CONCATENATE("R5C",'Mapa final'!$O$28),"")</f>
        <v/>
      </c>
      <c r="X50" s="37" t="str">
        <f>IF(AND('Mapa final'!$Y$29="Muy Baja",'Mapa final'!$AA$29="Moderado"),CONCATENATE("R5C",'Mapa final'!$O$29),"")</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final'!$Y$27="Muy Baja",'Mapa final'!$AA$27="Mayor"),CONCATENATE("R5C",'Mapa final'!$O$27),"")</f>
        <v/>
      </c>
      <c r="AC50" s="22" t="str">
        <f>IF(AND('Mapa final'!$Y$28="Muy Baja",'Mapa final'!$AA$28="Mayor"),CONCATENATE("R5C",'Mapa final'!$O$28),"")</f>
        <v/>
      </c>
      <c r="AD50" s="22" t="str">
        <f>IF(AND('Mapa final'!$Y$29="Muy Baja",'Mapa final'!$AA$29="Mayor"),CONCATENATE("R5C",'Mapa final'!$O$29),"")</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final'!$Y$27="Muy Baja",'Mapa final'!$AA$27="Catastrófico"),CONCATENATE("R5C",'Mapa final'!$O$27),"")</f>
        <v/>
      </c>
      <c r="AI50" s="25" t="str">
        <f>IF(AND('Mapa final'!$Y$28="Muy Baja",'Mapa final'!$AA$28="Catastrófico"),CONCATENATE("R5C",'Mapa final'!$O$28),"")</f>
        <v/>
      </c>
      <c r="AJ50" s="25" t="str">
        <f>IF(AND('Mapa final'!$Y$29="Muy Baja",'Mapa final'!$AA$29="Catastrófico"),CONCATENATE("R5C",'Mapa final'!$O$29),"")</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253"/>
      <c r="C51" s="176"/>
      <c r="D51" s="177"/>
      <c r="E51" s="188"/>
      <c r="F51" s="176"/>
      <c r="G51" s="176"/>
      <c r="H51" s="176"/>
      <c r="I51" s="177"/>
      <c r="J51" s="45" t="str">
        <f>IF(AND('Mapa final'!$Y$30="Muy Baja",'Mapa final'!$AA$30="Leve"),CONCATENATE("R6C",'Mapa final'!$O$30),"")</f>
        <v/>
      </c>
      <c r="K51" s="46" t="str">
        <f>IF(AND('Mapa final'!$Y$31="Muy Baja",'Mapa final'!$AA$31="Leve"),CONCATENATE("R6C",'Mapa final'!$O$31),"")</f>
        <v/>
      </c>
      <c r="L51" s="46" t="str">
        <f>IF(AND('Mapa final'!$Y$32="Muy Baja",'Mapa final'!$AA$32="Leve"),CONCATENATE("R6C",'Mapa final'!$O$32),"")</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final'!$Y$30="Muy Baja",'Mapa final'!$AA$30="Menor"),CONCATENATE("R6C",'Mapa final'!$O$30),"")</f>
        <v/>
      </c>
      <c r="Q51" s="46" t="str">
        <f>IF(AND('Mapa final'!$Y$31="Muy Baja",'Mapa final'!$AA$31="Menor"),CONCATENATE("R6C",'Mapa final'!$O$31),"")</f>
        <v/>
      </c>
      <c r="R51" s="46" t="str">
        <f>IF(AND('Mapa final'!$Y$32="Muy Baja",'Mapa final'!$AA$32="Menor"),CONCATENATE("R6C",'Mapa final'!$O$32),"")</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final'!$Y$30="Muy Baja",'Mapa final'!$AA$30="Moderado"),CONCATENATE("R6C",'Mapa final'!$O$30),"")</f>
        <v/>
      </c>
      <c r="W51" s="37" t="str">
        <f>IF(AND('Mapa final'!$Y$31="Muy Baja",'Mapa final'!$AA$31="Moderado"),CONCATENATE("R6C",'Mapa final'!$O$31),"")</f>
        <v/>
      </c>
      <c r="X51" s="37" t="str">
        <f>IF(AND('Mapa final'!$Y$32="Muy Baja",'Mapa final'!$AA$32="Moderado"),CONCATENATE("R6C",'Mapa final'!$O$32),"")</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final'!$Y$30="Muy Baja",'Mapa final'!$AA$30="Mayor"),CONCATENATE("R6C",'Mapa final'!$O$30),"")</f>
        <v/>
      </c>
      <c r="AC51" s="22" t="str">
        <f>IF(AND('Mapa final'!$Y$31="Muy Baja",'Mapa final'!$AA$31="Mayor"),CONCATENATE("R6C",'Mapa final'!$O$31),"")</f>
        <v/>
      </c>
      <c r="AD51" s="22" t="str">
        <f>IF(AND('Mapa final'!$Y$32="Muy Baja",'Mapa final'!$AA$32="Mayor"),CONCATENATE("R6C",'Mapa final'!$O$32),"")</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final'!$Y$30="Muy Baja",'Mapa final'!$AA$30="Catastrófico"),CONCATENATE("R6C",'Mapa final'!$O$30),"")</f>
        <v/>
      </c>
      <c r="AI51" s="25" t="str">
        <f>IF(AND('Mapa final'!$Y$31="Muy Baja",'Mapa final'!$AA$31="Catastrófico"),CONCATENATE("R6C",'Mapa final'!$O$31),"")</f>
        <v/>
      </c>
      <c r="AJ51" s="25" t="str">
        <f>IF(AND('Mapa final'!$Y$32="Muy Baja",'Mapa final'!$AA$32="Catastrófico"),CONCATENATE("R6C",'Mapa final'!$O$32),"")</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253"/>
      <c r="C52" s="176"/>
      <c r="D52" s="177"/>
      <c r="E52" s="188"/>
      <c r="F52" s="176"/>
      <c r="G52" s="176"/>
      <c r="H52" s="176"/>
      <c r="I52" s="177"/>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253"/>
      <c r="C53" s="176"/>
      <c r="D53" s="177"/>
      <c r="E53" s="188"/>
      <c r="F53" s="176"/>
      <c r="G53" s="176"/>
      <c r="H53" s="176"/>
      <c r="I53" s="177"/>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253"/>
      <c r="C54" s="176"/>
      <c r="D54" s="177"/>
      <c r="E54" s="188"/>
      <c r="F54" s="176"/>
      <c r="G54" s="176"/>
      <c r="H54" s="176"/>
      <c r="I54" s="177"/>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10"/>
      <c r="C55" s="255"/>
      <c r="D55" s="211"/>
      <c r="E55" s="222"/>
      <c r="F55" s="246"/>
      <c r="G55" s="246"/>
      <c r="H55" s="246"/>
      <c r="I55" s="225"/>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261" t="s">
        <v>90</v>
      </c>
      <c r="K56" s="245"/>
      <c r="L56" s="245"/>
      <c r="M56" s="245"/>
      <c r="N56" s="245"/>
      <c r="O56" s="227"/>
      <c r="P56" s="261" t="s">
        <v>91</v>
      </c>
      <c r="Q56" s="245"/>
      <c r="R56" s="245"/>
      <c r="S56" s="245"/>
      <c r="T56" s="245"/>
      <c r="U56" s="227"/>
      <c r="V56" s="261" t="s">
        <v>92</v>
      </c>
      <c r="W56" s="245"/>
      <c r="X56" s="245"/>
      <c r="Y56" s="245"/>
      <c r="Z56" s="245"/>
      <c r="AA56" s="227"/>
      <c r="AB56" s="261" t="s">
        <v>93</v>
      </c>
      <c r="AC56" s="245"/>
      <c r="AD56" s="245"/>
      <c r="AE56" s="245"/>
      <c r="AF56" s="245"/>
      <c r="AG56" s="227"/>
      <c r="AH56" s="261" t="s">
        <v>94</v>
      </c>
      <c r="AI56" s="245"/>
      <c r="AJ56" s="245"/>
      <c r="AK56" s="245"/>
      <c r="AL56" s="245"/>
      <c r="AM56" s="227"/>
    </row>
    <row r="57" spans="2:39" ht="15.75" customHeight="1" x14ac:dyDescent="0.25">
      <c r="B57" s="1"/>
      <c r="C57" s="1"/>
      <c r="D57" s="1"/>
      <c r="E57" s="1"/>
      <c r="F57" s="1"/>
      <c r="G57" s="1"/>
      <c r="H57" s="1"/>
      <c r="I57" s="1"/>
      <c r="J57" s="188"/>
      <c r="K57" s="176"/>
      <c r="L57" s="176"/>
      <c r="M57" s="176"/>
      <c r="N57" s="176"/>
      <c r="O57" s="177"/>
      <c r="P57" s="188"/>
      <c r="Q57" s="176"/>
      <c r="R57" s="176"/>
      <c r="S57" s="176"/>
      <c r="T57" s="176"/>
      <c r="U57" s="177"/>
      <c r="V57" s="188"/>
      <c r="W57" s="176"/>
      <c r="X57" s="176"/>
      <c r="Y57" s="176"/>
      <c r="Z57" s="176"/>
      <c r="AA57" s="177"/>
      <c r="AB57" s="188"/>
      <c r="AC57" s="176"/>
      <c r="AD57" s="176"/>
      <c r="AE57" s="176"/>
      <c r="AF57" s="176"/>
      <c r="AG57" s="177"/>
      <c r="AH57" s="188"/>
      <c r="AI57" s="176"/>
      <c r="AJ57" s="176"/>
      <c r="AK57" s="176"/>
      <c r="AL57" s="176"/>
      <c r="AM57" s="177"/>
    </row>
    <row r="58" spans="2:39" ht="15.75" customHeight="1" x14ac:dyDescent="0.25">
      <c r="B58" s="1"/>
      <c r="C58" s="1"/>
      <c r="D58" s="1"/>
      <c r="E58" s="1"/>
      <c r="F58" s="1"/>
      <c r="G58" s="1"/>
      <c r="H58" s="1"/>
      <c r="I58" s="1"/>
      <c r="J58" s="188"/>
      <c r="K58" s="176"/>
      <c r="L58" s="176"/>
      <c r="M58" s="176"/>
      <c r="N58" s="176"/>
      <c r="O58" s="177"/>
      <c r="P58" s="188"/>
      <c r="Q58" s="176"/>
      <c r="R58" s="176"/>
      <c r="S58" s="176"/>
      <c r="T58" s="176"/>
      <c r="U58" s="177"/>
      <c r="V58" s="188"/>
      <c r="W58" s="176"/>
      <c r="X58" s="176"/>
      <c r="Y58" s="176"/>
      <c r="Z58" s="176"/>
      <c r="AA58" s="177"/>
      <c r="AB58" s="188"/>
      <c r="AC58" s="176"/>
      <c r="AD58" s="176"/>
      <c r="AE58" s="176"/>
      <c r="AF58" s="176"/>
      <c r="AG58" s="177"/>
      <c r="AH58" s="188"/>
      <c r="AI58" s="176"/>
      <c r="AJ58" s="176"/>
      <c r="AK58" s="176"/>
      <c r="AL58" s="176"/>
      <c r="AM58" s="177"/>
    </row>
    <row r="59" spans="2:39" ht="15.75" customHeight="1" x14ac:dyDescent="0.25">
      <c r="B59" s="1"/>
      <c r="C59" s="1"/>
      <c r="D59" s="1"/>
      <c r="E59" s="1"/>
      <c r="F59" s="1"/>
      <c r="G59" s="1"/>
      <c r="H59" s="1"/>
      <c r="I59" s="1"/>
      <c r="J59" s="188"/>
      <c r="K59" s="176"/>
      <c r="L59" s="176"/>
      <c r="M59" s="176"/>
      <c r="N59" s="176"/>
      <c r="O59" s="177"/>
      <c r="P59" s="188"/>
      <c r="Q59" s="176"/>
      <c r="R59" s="176"/>
      <c r="S59" s="176"/>
      <c r="T59" s="176"/>
      <c r="U59" s="177"/>
      <c r="V59" s="188"/>
      <c r="W59" s="176"/>
      <c r="X59" s="176"/>
      <c r="Y59" s="176"/>
      <c r="Z59" s="176"/>
      <c r="AA59" s="177"/>
      <c r="AB59" s="188"/>
      <c r="AC59" s="176"/>
      <c r="AD59" s="176"/>
      <c r="AE59" s="176"/>
      <c r="AF59" s="176"/>
      <c r="AG59" s="177"/>
      <c r="AH59" s="188"/>
      <c r="AI59" s="176"/>
      <c r="AJ59" s="176"/>
      <c r="AK59" s="176"/>
      <c r="AL59" s="176"/>
      <c r="AM59" s="177"/>
    </row>
    <row r="60" spans="2:39" ht="15.75" customHeight="1" x14ac:dyDescent="0.25">
      <c r="B60" s="1"/>
      <c r="C60" s="1"/>
      <c r="D60" s="1"/>
      <c r="E60" s="1"/>
      <c r="F60" s="1"/>
      <c r="G60" s="1"/>
      <c r="H60" s="1"/>
      <c r="I60" s="1"/>
      <c r="J60" s="188"/>
      <c r="K60" s="176"/>
      <c r="L60" s="176"/>
      <c r="M60" s="176"/>
      <c r="N60" s="176"/>
      <c r="O60" s="177"/>
      <c r="P60" s="188"/>
      <c r="Q60" s="176"/>
      <c r="R60" s="176"/>
      <c r="S60" s="176"/>
      <c r="T60" s="176"/>
      <c r="U60" s="177"/>
      <c r="V60" s="188"/>
      <c r="W60" s="176"/>
      <c r="X60" s="176"/>
      <c r="Y60" s="176"/>
      <c r="Z60" s="176"/>
      <c r="AA60" s="177"/>
      <c r="AB60" s="188"/>
      <c r="AC60" s="176"/>
      <c r="AD60" s="176"/>
      <c r="AE60" s="176"/>
      <c r="AF60" s="176"/>
      <c r="AG60" s="177"/>
      <c r="AH60" s="188"/>
      <c r="AI60" s="176"/>
      <c r="AJ60" s="176"/>
      <c r="AK60" s="176"/>
      <c r="AL60" s="176"/>
      <c r="AM60" s="177"/>
    </row>
    <row r="61" spans="2:39" ht="15.75" customHeight="1" x14ac:dyDescent="0.25">
      <c r="B61" s="1"/>
      <c r="C61" s="1"/>
      <c r="D61" s="1"/>
      <c r="E61" s="1"/>
      <c r="F61" s="1"/>
      <c r="G61" s="1"/>
      <c r="H61" s="1"/>
      <c r="I61" s="1"/>
      <c r="J61" s="222"/>
      <c r="K61" s="246"/>
      <c r="L61" s="246"/>
      <c r="M61" s="246"/>
      <c r="N61" s="246"/>
      <c r="O61" s="225"/>
      <c r="P61" s="222"/>
      <c r="Q61" s="246"/>
      <c r="R61" s="246"/>
      <c r="S61" s="246"/>
      <c r="T61" s="246"/>
      <c r="U61" s="225"/>
      <c r="V61" s="222"/>
      <c r="W61" s="246"/>
      <c r="X61" s="246"/>
      <c r="Y61" s="246"/>
      <c r="Z61" s="246"/>
      <c r="AA61" s="225"/>
      <c r="AB61" s="222"/>
      <c r="AC61" s="246"/>
      <c r="AD61" s="246"/>
      <c r="AE61" s="246"/>
      <c r="AF61" s="246"/>
      <c r="AG61" s="225"/>
      <c r="AH61" s="222"/>
      <c r="AI61" s="246"/>
      <c r="AJ61" s="246"/>
      <c r="AK61" s="246"/>
      <c r="AL61" s="246"/>
      <c r="AM61" s="225"/>
    </row>
  </sheetData>
  <sheetProtection sheet="1" objects="1" scenarios="1"/>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D222"/>
  <sheetViews>
    <sheetView workbookViewId="0">
      <selection activeCell="C16" sqref="C16"/>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263" t="s">
        <v>96</v>
      </c>
      <c r="C1" s="176"/>
      <c r="D1" s="176"/>
    </row>
    <row r="2" spans="2:4" x14ac:dyDescent="0.25">
      <c r="B2" s="1"/>
      <c r="C2" s="1"/>
      <c r="D2" s="1"/>
    </row>
    <row r="3" spans="2:4" ht="25.5" x14ac:dyDescent="0.2">
      <c r="B3" s="52"/>
      <c r="C3" s="53" t="s">
        <v>97</v>
      </c>
      <c r="D3" s="53" t="s">
        <v>80</v>
      </c>
    </row>
    <row r="4" spans="2:4" ht="51" x14ac:dyDescent="0.2">
      <c r="B4" s="54" t="s">
        <v>98</v>
      </c>
      <c r="C4" s="55" t="s">
        <v>99</v>
      </c>
      <c r="D4" s="56">
        <v>0.2</v>
      </c>
    </row>
    <row r="5" spans="2:4" ht="51" x14ac:dyDescent="0.2">
      <c r="B5" s="57" t="s">
        <v>100</v>
      </c>
      <c r="C5" s="58" t="s">
        <v>101</v>
      </c>
      <c r="D5" s="59">
        <v>0.4</v>
      </c>
    </row>
    <row r="6" spans="2:4" ht="51" x14ac:dyDescent="0.2">
      <c r="B6" s="60" t="s">
        <v>102</v>
      </c>
      <c r="C6" s="58" t="s">
        <v>103</v>
      </c>
      <c r="D6" s="59">
        <v>0.6</v>
      </c>
    </row>
    <row r="7" spans="2:4" ht="76.5" x14ac:dyDescent="0.2">
      <c r="B7" s="61" t="s">
        <v>104</v>
      </c>
      <c r="C7" s="58" t="s">
        <v>105</v>
      </c>
      <c r="D7" s="59">
        <v>0.8</v>
      </c>
    </row>
    <row r="8" spans="2:4" ht="51" x14ac:dyDescent="0.2">
      <c r="B8" s="62" t="s">
        <v>106</v>
      </c>
      <c r="C8" s="58" t="s">
        <v>107</v>
      </c>
      <c r="D8" s="59">
        <v>1</v>
      </c>
    </row>
    <row r="220" spans="3:3" ht="15" customHeight="1" x14ac:dyDescent="0.2">
      <c r="C220" s="313" t="s">
        <v>229</v>
      </c>
    </row>
    <row r="221" spans="3:3" ht="15" customHeight="1" x14ac:dyDescent="0.2">
      <c r="C221" s="313" t="s">
        <v>230</v>
      </c>
    </row>
    <row r="222" spans="3:3" ht="15" customHeight="1" x14ac:dyDescent="0.2">
      <c r="C222" s="313" t="s">
        <v>231</v>
      </c>
    </row>
  </sheetData>
  <sheetProtection sheet="1" objects="1" scenarios="1"/>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H224"/>
  <sheetViews>
    <sheetView zoomScale="70" zoomScaleNormal="70"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264" t="s">
        <v>108</v>
      </c>
      <c r="C1" s="176"/>
      <c r="D1" s="176"/>
    </row>
    <row r="2" spans="1:4" x14ac:dyDescent="0.25">
      <c r="A2" s="1"/>
      <c r="B2" s="1"/>
      <c r="C2" s="1"/>
      <c r="D2" s="1"/>
    </row>
    <row r="3" spans="1:4" ht="30" x14ac:dyDescent="0.25">
      <c r="A3" s="1"/>
      <c r="B3" s="63"/>
      <c r="C3" s="64" t="s">
        <v>109</v>
      </c>
      <c r="D3" s="64" t="s">
        <v>110</v>
      </c>
    </row>
    <row r="4" spans="1:4" ht="33.75" x14ac:dyDescent="0.25">
      <c r="A4" s="65" t="s">
        <v>111</v>
      </c>
      <c r="B4" s="66" t="s">
        <v>112</v>
      </c>
      <c r="C4" s="67" t="s">
        <v>113</v>
      </c>
      <c r="D4" s="68" t="s">
        <v>114</v>
      </c>
    </row>
    <row r="5" spans="1:4" ht="67.5" x14ac:dyDescent="0.25">
      <c r="A5" s="65" t="s">
        <v>115</v>
      </c>
      <c r="B5" s="69" t="s">
        <v>116</v>
      </c>
      <c r="C5" s="70" t="s">
        <v>117</v>
      </c>
      <c r="D5" s="71" t="s">
        <v>118</v>
      </c>
    </row>
    <row r="6" spans="1:4" ht="67.5" x14ac:dyDescent="0.25">
      <c r="A6" s="65" t="s">
        <v>86</v>
      </c>
      <c r="B6" s="72" t="s">
        <v>119</v>
      </c>
      <c r="C6" s="98" t="s">
        <v>120</v>
      </c>
      <c r="D6" s="99" t="s">
        <v>201</v>
      </c>
    </row>
    <row r="7" spans="1:4" ht="101.25" x14ac:dyDescent="0.25">
      <c r="A7" s="65" t="s">
        <v>122</v>
      </c>
      <c r="B7" s="73" t="s">
        <v>123</v>
      </c>
      <c r="C7" s="70" t="s">
        <v>124</v>
      </c>
      <c r="D7" s="71" t="s">
        <v>200</v>
      </c>
    </row>
    <row r="8" spans="1:4" ht="67.5" x14ac:dyDescent="0.25">
      <c r="A8" s="65" t="s">
        <v>126</v>
      </c>
      <c r="B8" s="74" t="s">
        <v>127</v>
      </c>
      <c r="C8" s="70" t="s">
        <v>128</v>
      </c>
      <c r="D8" s="71" t="s">
        <v>129</v>
      </c>
    </row>
    <row r="9" spans="1:4" ht="20.25" x14ac:dyDescent="0.25">
      <c r="A9" s="65"/>
      <c r="B9" s="65"/>
      <c r="C9" s="75"/>
      <c r="D9" s="75"/>
    </row>
    <row r="10" spans="1:4" ht="16.5" x14ac:dyDescent="0.25">
      <c r="A10" s="65"/>
      <c r="B10" s="76"/>
      <c r="C10" s="76"/>
      <c r="D10" s="76"/>
    </row>
    <row r="11" spans="1:4" x14ac:dyDescent="0.25">
      <c r="A11" s="65"/>
      <c r="B11" s="65" t="s">
        <v>130</v>
      </c>
      <c r="C11" s="65" t="s">
        <v>131</v>
      </c>
      <c r="D11" s="65" t="s">
        <v>132</v>
      </c>
    </row>
    <row r="12" spans="1:4" x14ac:dyDescent="0.25">
      <c r="A12" s="65"/>
      <c r="B12" s="65" t="s">
        <v>133</v>
      </c>
      <c r="C12" s="65" t="s">
        <v>134</v>
      </c>
      <c r="D12" s="65" t="s">
        <v>135</v>
      </c>
    </row>
    <row r="13" spans="1:4" x14ac:dyDescent="0.25">
      <c r="A13" s="65"/>
      <c r="B13" s="65"/>
      <c r="C13" s="65" t="s">
        <v>136</v>
      </c>
      <c r="D13" s="65" t="s">
        <v>137</v>
      </c>
    </row>
    <row r="14" spans="1:4" x14ac:dyDescent="0.25">
      <c r="A14" s="65"/>
      <c r="B14" s="65"/>
      <c r="C14" s="65" t="s">
        <v>138</v>
      </c>
      <c r="D14" s="65" t="s">
        <v>139</v>
      </c>
    </row>
    <row r="15" spans="1:4" x14ac:dyDescent="0.25">
      <c r="A15" s="65"/>
      <c r="B15" s="65"/>
      <c r="C15" s="65" t="s">
        <v>140</v>
      </c>
      <c r="D15" s="65" t="s">
        <v>141</v>
      </c>
    </row>
    <row r="209" spans="2:8" ht="15.75" customHeight="1" x14ac:dyDescent="0.25">
      <c r="B209" s="77" t="s">
        <v>142</v>
      </c>
      <c r="C209" s="77" t="s">
        <v>143</v>
      </c>
      <c r="D209" s="78" t="s">
        <v>142</v>
      </c>
      <c r="E209" s="78" t="s">
        <v>143</v>
      </c>
    </row>
    <row r="210" spans="2:8" ht="15.75" customHeight="1" x14ac:dyDescent="0.35">
      <c r="B210" s="79" t="s">
        <v>144</v>
      </c>
      <c r="C210" s="79" t="s">
        <v>145</v>
      </c>
      <c r="D210" s="80" t="s">
        <v>144</v>
      </c>
      <c r="F210" s="80" t="str">
        <f t="shared" ref="F210:F221" si="0">IF(NOT(ISBLANK(D210)),D210,IF(NOT(ISBLANK(E210)),"     "&amp;E210,FALSE))</f>
        <v>Afectación Económica o presupuestal</v>
      </c>
      <c r="G210" s="80" t="s">
        <v>144</v>
      </c>
      <c r="H210" s="80" t="str">
        <f ca="1">IF(NOT(ISERROR(MATCH(G210,ANCHORARRAY(B221),0))),F223&amp;"Por favor no seleccionar los criterios de impacto",G210)</f>
        <v>Afectación Económica o presupuestal</v>
      </c>
    </row>
    <row r="211" spans="2:8" ht="15.75" customHeight="1" x14ac:dyDescent="0.35">
      <c r="B211" s="79" t="s">
        <v>144</v>
      </c>
      <c r="C211" s="79" t="s">
        <v>117</v>
      </c>
      <c r="E211" s="80" t="s">
        <v>145</v>
      </c>
      <c r="F211" s="80" t="str">
        <f t="shared" si="0"/>
        <v xml:space="preserve">     Afectación menor a 10 SMLMV .</v>
      </c>
    </row>
    <row r="212" spans="2:8" ht="15.75" customHeight="1" x14ac:dyDescent="0.35">
      <c r="B212" s="79" t="s">
        <v>144</v>
      </c>
      <c r="C212" s="79" t="s">
        <v>120</v>
      </c>
      <c r="E212" s="80" t="s">
        <v>117</v>
      </c>
      <c r="F212" s="80" t="str">
        <f t="shared" si="0"/>
        <v xml:space="preserve">     Entre 10 y 50 SMLMV </v>
      </c>
    </row>
    <row r="213" spans="2:8" ht="15.75" customHeight="1" x14ac:dyDescent="0.35">
      <c r="B213" s="79" t="s">
        <v>144</v>
      </c>
      <c r="C213" s="79" t="s">
        <v>124</v>
      </c>
      <c r="E213" s="80" t="s">
        <v>120</v>
      </c>
      <c r="F213" s="80" t="str">
        <f t="shared" si="0"/>
        <v xml:space="preserve">     Entre 50 y 100 SMLMV </v>
      </c>
    </row>
    <row r="214" spans="2:8" ht="15.75" customHeight="1" x14ac:dyDescent="0.35">
      <c r="B214" s="79" t="s">
        <v>144</v>
      </c>
      <c r="C214" s="79" t="s">
        <v>128</v>
      </c>
      <c r="E214" s="80" t="s">
        <v>124</v>
      </c>
      <c r="F214" s="80" t="str">
        <f t="shared" si="0"/>
        <v xml:space="preserve">     Entre 100 y 500 SMLMV </v>
      </c>
    </row>
    <row r="215" spans="2:8" ht="15.75" customHeight="1" x14ac:dyDescent="0.35">
      <c r="B215" s="79" t="s">
        <v>110</v>
      </c>
      <c r="C215" s="79" t="s">
        <v>114</v>
      </c>
      <c r="E215" s="80" t="s">
        <v>128</v>
      </c>
      <c r="F215" s="80" t="str">
        <f t="shared" si="0"/>
        <v xml:space="preserve">     Mayor a 500 SMLMV </v>
      </c>
    </row>
    <row r="216" spans="2:8" ht="15.75" customHeight="1" x14ac:dyDescent="0.35">
      <c r="B216" s="79" t="s">
        <v>110</v>
      </c>
      <c r="C216" s="79" t="s">
        <v>118</v>
      </c>
      <c r="D216" s="80" t="s">
        <v>110</v>
      </c>
      <c r="F216" s="80"/>
    </row>
    <row r="217" spans="2:8" ht="15.75" customHeight="1" x14ac:dyDescent="0.35">
      <c r="B217" s="79" t="s">
        <v>110</v>
      </c>
      <c r="C217" s="79" t="s">
        <v>121</v>
      </c>
      <c r="E217" s="80"/>
      <c r="F217" s="80"/>
    </row>
    <row r="218" spans="2:8" ht="15.75" customHeight="1" x14ac:dyDescent="0.35">
      <c r="B218" s="79" t="s">
        <v>110</v>
      </c>
      <c r="C218" s="79" t="s">
        <v>125</v>
      </c>
      <c r="E218" s="80"/>
      <c r="F218" s="80"/>
    </row>
    <row r="219" spans="2:8" ht="15.75" customHeight="1" x14ac:dyDescent="0.35">
      <c r="B219" s="79" t="s">
        <v>110</v>
      </c>
      <c r="C219" s="79" t="s">
        <v>129</v>
      </c>
      <c r="E219" s="80"/>
      <c r="F219" s="80"/>
    </row>
    <row r="220" spans="2:8" ht="15.75" customHeight="1" x14ac:dyDescent="0.25">
      <c r="B220" s="81"/>
      <c r="C220" s="81"/>
      <c r="E220" s="80"/>
      <c r="F220" s="80"/>
    </row>
    <row r="221" spans="2:8" ht="15.75" customHeight="1" x14ac:dyDescent="0.25">
      <c r="B221" s="81" t="str">
        <f ca="1">IFERROR(__xludf.DUMMYFUNCTION("ARRAY_CONSTRAIN(ARRAYFORMULA(UNIQUE('Tabla Impacto'!$B$209:$B$219)), 3, 1)"),"Criterios")</f>
        <v>Criterios</v>
      </c>
      <c r="C221" s="81"/>
      <c r="E221" s="80"/>
      <c r="F221" s="80"/>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146</v>
      </c>
    </row>
    <row r="224" spans="2:8" ht="15.75" customHeight="1" x14ac:dyDescent="0.25">
      <c r="B224" s="78"/>
      <c r="C224" s="78"/>
      <c r="F224" s="82" t="s">
        <v>147</v>
      </c>
    </row>
  </sheetData>
  <sheetProtection sheet="1" objects="1" scenarios="1"/>
  <mergeCells count="1">
    <mergeCell ref="B1:D1"/>
  </mergeCells>
  <dataValidations count="1">
    <dataValidation type="list" allowBlank="1" showErrorMessage="1" sqref="G21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B1:F15"/>
  <sheetViews>
    <sheetView workbookViewId="0">
      <selection activeCell="F12" sqref="F12"/>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270" t="s">
        <v>148</v>
      </c>
      <c r="C1" s="271"/>
      <c r="D1" s="271"/>
      <c r="E1" s="271"/>
      <c r="F1" s="272"/>
    </row>
    <row r="2" spans="2:6" ht="12.75" customHeight="1" x14ac:dyDescent="0.25">
      <c r="B2" s="83"/>
      <c r="C2" s="83"/>
      <c r="D2" s="83"/>
      <c r="E2" s="83"/>
      <c r="F2" s="83"/>
    </row>
    <row r="3" spans="2:6" ht="12.75" customHeight="1" x14ac:dyDescent="0.2">
      <c r="B3" s="273" t="s">
        <v>149</v>
      </c>
      <c r="C3" s="271"/>
      <c r="D3" s="274"/>
      <c r="E3" s="84" t="s">
        <v>150</v>
      </c>
      <c r="F3" s="85" t="s">
        <v>151</v>
      </c>
    </row>
    <row r="4" spans="2:6" ht="12.75" customHeight="1" x14ac:dyDescent="0.2">
      <c r="B4" s="275" t="s">
        <v>152</v>
      </c>
      <c r="C4" s="278" t="s">
        <v>73</v>
      </c>
      <c r="D4" s="86" t="s">
        <v>153</v>
      </c>
      <c r="E4" s="87" t="s">
        <v>154</v>
      </c>
      <c r="F4" s="88">
        <v>0.25</v>
      </c>
    </row>
    <row r="5" spans="2:6" ht="12.75" customHeight="1" x14ac:dyDescent="0.2">
      <c r="B5" s="276"/>
      <c r="C5" s="279"/>
      <c r="D5" s="89" t="s">
        <v>155</v>
      </c>
      <c r="E5" s="90" t="s">
        <v>156</v>
      </c>
      <c r="F5" s="91">
        <v>0.15</v>
      </c>
    </row>
    <row r="6" spans="2:6" ht="12.75" customHeight="1" x14ac:dyDescent="0.2">
      <c r="B6" s="276"/>
      <c r="C6" s="268"/>
      <c r="D6" s="89" t="s">
        <v>157</v>
      </c>
      <c r="E6" s="90" t="s">
        <v>158</v>
      </c>
      <c r="F6" s="91">
        <v>0.1</v>
      </c>
    </row>
    <row r="7" spans="2:6" ht="12.75" customHeight="1" x14ac:dyDescent="0.2">
      <c r="B7" s="276"/>
      <c r="C7" s="267" t="s">
        <v>74</v>
      </c>
      <c r="D7" s="89" t="s">
        <v>159</v>
      </c>
      <c r="E7" s="90" t="s">
        <v>160</v>
      </c>
      <c r="F7" s="91">
        <v>0.25</v>
      </c>
    </row>
    <row r="8" spans="2:6" ht="12.75" customHeight="1" x14ac:dyDescent="0.2">
      <c r="B8" s="277"/>
      <c r="C8" s="268"/>
      <c r="D8" s="89" t="s">
        <v>161</v>
      </c>
      <c r="E8" s="90" t="s">
        <v>162</v>
      </c>
      <c r="F8" s="91">
        <v>0.15</v>
      </c>
    </row>
    <row r="9" spans="2:6" ht="12.75" customHeight="1" x14ac:dyDescent="0.2">
      <c r="B9" s="280" t="s">
        <v>163</v>
      </c>
      <c r="C9" s="267" t="s">
        <v>76</v>
      </c>
      <c r="D9" s="89" t="s">
        <v>164</v>
      </c>
      <c r="E9" s="90" t="s">
        <v>165</v>
      </c>
      <c r="F9" s="92" t="s">
        <v>166</v>
      </c>
    </row>
    <row r="10" spans="2:6" ht="12.75" customHeight="1" x14ac:dyDescent="0.2">
      <c r="B10" s="276"/>
      <c r="C10" s="268"/>
      <c r="D10" s="89" t="s">
        <v>167</v>
      </c>
      <c r="E10" s="90" t="s">
        <v>168</v>
      </c>
      <c r="F10" s="92" t="s">
        <v>166</v>
      </c>
    </row>
    <row r="11" spans="2:6" ht="12.75" customHeight="1" x14ac:dyDescent="0.2">
      <c r="B11" s="276"/>
      <c r="C11" s="267" t="s">
        <v>77</v>
      </c>
      <c r="D11" s="89" t="s">
        <v>169</v>
      </c>
      <c r="E11" s="90" t="s">
        <v>170</v>
      </c>
      <c r="F11" s="92" t="s">
        <v>166</v>
      </c>
    </row>
    <row r="12" spans="2:6" ht="12.75" customHeight="1" x14ac:dyDescent="0.2">
      <c r="B12" s="276"/>
      <c r="C12" s="268"/>
      <c r="D12" s="89" t="s">
        <v>171</v>
      </c>
      <c r="E12" s="90" t="s">
        <v>172</v>
      </c>
      <c r="F12" s="92" t="s">
        <v>166</v>
      </c>
    </row>
    <row r="13" spans="2:6" ht="12.75" customHeight="1" x14ac:dyDescent="0.2">
      <c r="B13" s="276"/>
      <c r="C13" s="267" t="s">
        <v>78</v>
      </c>
      <c r="D13" s="89" t="s">
        <v>173</v>
      </c>
      <c r="E13" s="90" t="s">
        <v>174</v>
      </c>
      <c r="F13" s="92" t="s">
        <v>166</v>
      </c>
    </row>
    <row r="14" spans="2:6" ht="12.75" customHeight="1" x14ac:dyDescent="0.2">
      <c r="B14" s="281"/>
      <c r="C14" s="269"/>
      <c r="D14" s="93" t="s">
        <v>175</v>
      </c>
      <c r="E14" s="94" t="s">
        <v>176</v>
      </c>
      <c r="F14" s="95" t="s">
        <v>166</v>
      </c>
    </row>
    <row r="15" spans="2:6" ht="49.5" customHeight="1" x14ac:dyDescent="0.2">
      <c r="B15" s="265" t="s">
        <v>177</v>
      </c>
      <c r="C15" s="204"/>
      <c r="D15" s="204"/>
      <c r="E15" s="204"/>
      <c r="F15" s="266"/>
    </row>
  </sheetData>
  <sheetProtection sheet="1" objects="1" scenarios="1"/>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5"/>
  <sheetViews>
    <sheetView workbookViewId="0">
      <selection activeCell="F19" sqref="F19"/>
    </sheetView>
  </sheetViews>
  <sheetFormatPr baseColWidth="10" defaultColWidth="11" defaultRowHeight="14.25" x14ac:dyDescent="0.2"/>
  <sheetData>
    <row r="2" spans="2:12" ht="15.75" x14ac:dyDescent="0.3">
      <c r="B2" s="100"/>
      <c r="C2" s="305" t="s">
        <v>207</v>
      </c>
      <c r="D2" s="305"/>
      <c r="E2" s="305"/>
      <c r="F2" s="305"/>
      <c r="G2" s="305"/>
      <c r="H2" s="305"/>
      <c r="I2" s="305"/>
      <c r="J2" s="305"/>
      <c r="K2" s="305"/>
      <c r="L2" s="305"/>
    </row>
    <row r="3" spans="2:12" ht="16.5" thickBot="1" x14ac:dyDescent="0.35">
      <c r="B3" s="100"/>
      <c r="C3" s="101"/>
      <c r="G3" s="100"/>
      <c r="H3" s="100"/>
      <c r="I3" s="100"/>
      <c r="J3" s="100"/>
      <c r="K3" s="100"/>
      <c r="L3" s="100"/>
    </row>
    <row r="4" spans="2:12" x14ac:dyDescent="0.2">
      <c r="B4" s="306" t="s">
        <v>208</v>
      </c>
      <c r="C4" s="307"/>
      <c r="D4" s="307" t="s">
        <v>209</v>
      </c>
      <c r="E4" s="307"/>
      <c r="F4" s="307"/>
      <c r="G4" s="307"/>
      <c r="H4" s="307" t="s">
        <v>210</v>
      </c>
      <c r="I4" s="307"/>
      <c r="J4" s="307"/>
      <c r="K4" s="307" t="s">
        <v>211</v>
      </c>
      <c r="L4" s="308"/>
    </row>
    <row r="5" spans="2:12" ht="17.25" thickBot="1" x14ac:dyDescent="0.35">
      <c r="B5" s="300"/>
      <c r="C5" s="301"/>
      <c r="D5" s="302"/>
      <c r="E5" s="302"/>
      <c r="F5" s="302"/>
      <c r="G5" s="302"/>
      <c r="H5" s="303"/>
      <c r="I5" s="303"/>
      <c r="J5" s="303"/>
      <c r="K5" s="303"/>
      <c r="L5" s="304"/>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297" t="s">
        <v>212</v>
      </c>
      <c r="C8" s="298"/>
      <c r="D8" s="298"/>
      <c r="E8" s="299"/>
      <c r="F8" s="297" t="s">
        <v>213</v>
      </c>
      <c r="G8" s="298"/>
      <c r="H8" s="298"/>
      <c r="I8" s="299"/>
      <c r="J8" s="297" t="s">
        <v>214</v>
      </c>
      <c r="K8" s="298"/>
      <c r="L8" s="299"/>
    </row>
    <row r="9" spans="2:12" ht="15.75" x14ac:dyDescent="0.3">
      <c r="B9" s="291"/>
      <c r="C9" s="292"/>
      <c r="D9" s="292"/>
      <c r="E9" s="293"/>
      <c r="F9" s="294"/>
      <c r="G9" s="295"/>
      <c r="H9" s="295"/>
      <c r="I9" s="296"/>
      <c r="J9" s="294"/>
      <c r="K9" s="295"/>
      <c r="L9" s="296"/>
    </row>
    <row r="10" spans="2:12" ht="15.75" x14ac:dyDescent="0.3">
      <c r="B10" s="291"/>
      <c r="C10" s="292"/>
      <c r="D10" s="292"/>
      <c r="E10" s="293"/>
      <c r="F10" s="294"/>
      <c r="G10" s="295"/>
      <c r="H10" s="295"/>
      <c r="I10" s="296"/>
      <c r="J10" s="294"/>
      <c r="K10" s="295"/>
      <c r="L10" s="296"/>
    </row>
    <row r="11" spans="2:12" ht="15.75" x14ac:dyDescent="0.3">
      <c r="B11" s="291"/>
      <c r="C11" s="292"/>
      <c r="D11" s="292"/>
      <c r="E11" s="293"/>
      <c r="F11" s="294"/>
      <c r="G11" s="295"/>
      <c r="H11" s="295"/>
      <c r="I11" s="296"/>
      <c r="J11" s="294"/>
      <c r="K11" s="295"/>
      <c r="L11" s="296"/>
    </row>
    <row r="12" spans="2:12" ht="15.75" x14ac:dyDescent="0.3">
      <c r="B12" s="291"/>
      <c r="C12" s="292"/>
      <c r="D12" s="292"/>
      <c r="E12" s="293"/>
      <c r="F12" s="294"/>
      <c r="G12" s="295"/>
      <c r="H12" s="295"/>
      <c r="I12" s="296"/>
      <c r="J12" s="294"/>
      <c r="K12" s="295"/>
      <c r="L12" s="296"/>
    </row>
    <row r="13" spans="2:12" x14ac:dyDescent="0.2">
      <c r="B13" s="282" t="s">
        <v>215</v>
      </c>
      <c r="C13" s="283"/>
      <c r="D13" s="283"/>
      <c r="E13" s="284"/>
      <c r="F13" s="282" t="s">
        <v>216</v>
      </c>
      <c r="G13" s="283"/>
      <c r="H13" s="283"/>
      <c r="I13" s="284"/>
      <c r="J13" s="282" t="s">
        <v>217</v>
      </c>
      <c r="K13" s="283"/>
      <c r="L13" s="284"/>
    </row>
    <row r="14" spans="2:12" x14ac:dyDescent="0.2">
      <c r="B14" s="282" t="s">
        <v>218</v>
      </c>
      <c r="C14" s="283"/>
      <c r="D14" s="283"/>
      <c r="E14" s="284"/>
      <c r="F14" s="282" t="s">
        <v>219</v>
      </c>
      <c r="G14" s="283"/>
      <c r="H14" s="283"/>
      <c r="I14" s="284"/>
      <c r="J14" s="282" t="s">
        <v>220</v>
      </c>
      <c r="K14" s="283"/>
      <c r="L14" s="284"/>
    </row>
    <row r="15" spans="2:12" ht="16.5" thickBot="1" x14ac:dyDescent="0.35">
      <c r="B15" s="285"/>
      <c r="C15" s="286"/>
      <c r="D15" s="286"/>
      <c r="E15" s="287"/>
      <c r="F15" s="288"/>
      <c r="G15" s="289"/>
      <c r="H15" s="289"/>
      <c r="I15" s="290"/>
      <c r="J15" s="285"/>
      <c r="K15" s="286"/>
      <c r="L15" s="287"/>
    </row>
  </sheetData>
  <mergeCells count="33">
    <mergeCell ref="B5:C5"/>
    <mergeCell ref="D5:G5"/>
    <mergeCell ref="H5:J5"/>
    <mergeCell ref="K5:L5"/>
    <mergeCell ref="C2:L2"/>
    <mergeCell ref="B4:C4"/>
    <mergeCell ref="D4:G4"/>
    <mergeCell ref="H4:J4"/>
    <mergeCell ref="K4:L4"/>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heetViews>
  <sheetFormatPr baseColWidth="10" defaultColWidth="12.625" defaultRowHeight="15" customHeight="1" x14ac:dyDescent="0.2"/>
  <cols>
    <col min="1" max="26" width="9.375" customWidth="1"/>
  </cols>
  <sheetData>
    <row r="2" spans="2:5" ht="15" customHeight="1" x14ac:dyDescent="0.25">
      <c r="B2" s="80" t="s">
        <v>178</v>
      </c>
      <c r="E2" s="80" t="s">
        <v>179</v>
      </c>
    </row>
    <row r="3" spans="2:5" ht="15" customHeight="1" x14ac:dyDescent="0.25">
      <c r="B3" s="80" t="s">
        <v>180</v>
      </c>
      <c r="E3" s="80" t="s">
        <v>181</v>
      </c>
    </row>
    <row r="4" spans="2:5" ht="15" customHeight="1" x14ac:dyDescent="0.25">
      <c r="B4" s="80" t="s">
        <v>182</v>
      </c>
      <c r="E4" s="80" t="s">
        <v>183</v>
      </c>
    </row>
    <row r="5" spans="2:5" ht="15" customHeight="1" x14ac:dyDescent="0.25">
      <c r="B5" s="80" t="s">
        <v>184</v>
      </c>
    </row>
    <row r="8" spans="2:5" ht="15" customHeight="1" x14ac:dyDescent="0.25">
      <c r="B8" s="80" t="s">
        <v>185</v>
      </c>
    </row>
    <row r="9" spans="2:5" ht="15" customHeight="1" x14ac:dyDescent="0.25">
      <c r="B9" s="80" t="s">
        <v>186</v>
      </c>
    </row>
    <row r="10" spans="2:5" ht="15" customHeight="1" x14ac:dyDescent="0.25">
      <c r="B10" s="80" t="s">
        <v>187</v>
      </c>
    </row>
    <row r="13" spans="2:5" ht="15" customHeight="1" x14ac:dyDescent="0.25">
      <c r="B13" s="80" t="s">
        <v>188</v>
      </c>
    </row>
    <row r="14" spans="2:5" ht="15" customHeight="1" x14ac:dyDescent="0.25">
      <c r="B14" s="80" t="s">
        <v>189</v>
      </c>
    </row>
    <row r="15" spans="2:5" ht="15" customHeight="1" x14ac:dyDescent="0.25">
      <c r="B15" s="80" t="s">
        <v>190</v>
      </c>
    </row>
    <row r="16" spans="2:5" ht="15" customHeight="1" x14ac:dyDescent="0.25">
      <c r="B16" s="80" t="s">
        <v>191</v>
      </c>
    </row>
    <row r="17" spans="2:2" ht="15" customHeight="1" x14ac:dyDescent="0.25">
      <c r="B17" s="80" t="s">
        <v>192</v>
      </c>
    </row>
    <row r="18" spans="2:2" ht="15" customHeight="1" x14ac:dyDescent="0.25">
      <c r="B18" s="80" t="s">
        <v>193</v>
      </c>
    </row>
    <row r="19" spans="2:2" ht="15" customHeight="1" x14ac:dyDescent="0.25">
      <c r="B19" s="80" t="s">
        <v>194</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Jesus Quiceno</cp:lastModifiedBy>
  <cp:lastPrinted>2023-11-30T22:01:40Z</cp:lastPrinted>
  <dcterms:created xsi:type="dcterms:W3CDTF">2020-03-24T23:12:47Z</dcterms:created>
  <dcterms:modified xsi:type="dcterms:W3CDTF">2025-12-16T15:48:19Z</dcterms:modified>
</cp:coreProperties>
</file>