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JesusQuiceno\Desktop\JESUS PROYECTOS 2025\MIPG\RIESGOS\RIESGOS DE GESTIÓN\"/>
    </mc:Choice>
  </mc:AlternateContent>
  <bookViews>
    <workbookView xWindow="0" yWindow="0" windowWidth="25200" windowHeight="11880"/>
  </bookViews>
  <sheets>
    <sheet name="Mapa final" sheetId="2" r:id="rId1"/>
    <sheet name="Intructivo" sheetId="1" r:id="rId2"/>
    <sheet name="Matriz Calor Inherente" sheetId="3" r:id="rId3"/>
    <sheet name="Matriz Calor Residual" sheetId="4" r:id="rId4"/>
    <sheet name="Tabla probabilidad" sheetId="5" r:id="rId5"/>
    <sheet name="Tabla Impacto" sheetId="6" r:id="rId6"/>
    <sheet name="Tabla Valoración controles" sheetId="7" r:id="rId7"/>
    <sheet name="CONTROL DE CAMBIOS" sheetId="10" state="hidden" r:id="rId8"/>
    <sheet name="Opciones Tratamiento" sheetId="8" state="hidden" r:id="rId9"/>
    <sheet name="Hoja1" sheetId="9" state="hidden" r:id="rId10"/>
  </sheets>
  <externalReferences>
    <externalReference r:id="rId11"/>
  </externalReferenc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18" i="2" l="1"/>
  <c r="AC17" i="2"/>
  <c r="Q23" i="2"/>
  <c r="T23" i="2"/>
  <c r="T43" i="2"/>
  <c r="Q43" i="2"/>
  <c r="T42" i="2"/>
  <c r="Q42" i="2"/>
  <c r="T41" i="2"/>
  <c r="Q41" i="2"/>
  <c r="K41" i="2"/>
  <c r="L41" i="2" s="1"/>
  <c r="M41" i="2" s="1"/>
  <c r="H41" i="2"/>
  <c r="AB43" i="2" l="1"/>
  <c r="AA43" i="2" s="1"/>
  <c r="AB42" i="2"/>
  <c r="AA42" i="2" s="1"/>
  <c r="AB41" i="2"/>
  <c r="AA41" i="2" s="1"/>
  <c r="N41" i="2"/>
  <c r="I41" i="2"/>
  <c r="X41" i="2" s="1"/>
  <c r="Z41" i="2" s="1"/>
  <c r="X42" i="2"/>
  <c r="X43" i="2"/>
  <c r="Q27" i="2"/>
  <c r="T27" i="2"/>
  <c r="Q28" i="2"/>
  <c r="T28" i="2"/>
  <c r="AB28" i="2"/>
  <c r="AA28" i="2" s="1"/>
  <c r="Y41" i="2" l="1"/>
  <c r="AC41" i="2" s="1"/>
  <c r="Y43" i="2"/>
  <c r="AC43" i="2" s="1"/>
  <c r="Z43" i="2"/>
  <c r="Y42" i="2"/>
  <c r="AC42" i="2" s="1"/>
  <c r="Z42" i="2"/>
  <c r="X28" i="2"/>
  <c r="Z28" i="2" s="1"/>
  <c r="AD41" i="2" l="1"/>
  <c r="Y28" i="2"/>
  <c r="AC28" i="2" s="1"/>
  <c r="T46" i="2" l="1"/>
  <c r="T45" i="2"/>
  <c r="T44" i="2"/>
  <c r="T38" i="2"/>
  <c r="T37" i="2"/>
  <c r="T36" i="2"/>
  <c r="T33" i="2"/>
  <c r="T32" i="2"/>
  <c r="T31" i="2"/>
  <c r="T26" i="2"/>
  <c r="T22" i="2"/>
  <c r="T21" i="2"/>
  <c r="T18" i="2"/>
  <c r="T17" i="2"/>
  <c r="H44" i="2"/>
  <c r="H36" i="2"/>
  <c r="H31" i="2"/>
  <c r="H26" i="2"/>
  <c r="H21" i="2"/>
  <c r="T40" i="2" l="1"/>
  <c r="T39" i="2"/>
  <c r="T35" i="2"/>
  <c r="T34" i="2"/>
  <c r="T30" i="2"/>
  <c r="T29" i="2"/>
  <c r="T20" i="2"/>
  <c r="T19" i="2"/>
  <c r="T16" i="2"/>
  <c r="Q46" i="2"/>
  <c r="Q45" i="2"/>
  <c r="Q44" i="2"/>
  <c r="Q40" i="2"/>
  <c r="X40" i="2" s="1"/>
  <c r="Q39" i="2"/>
  <c r="X39" i="2" s="1"/>
  <c r="Q38" i="2"/>
  <c r="Q37" i="2"/>
  <c r="Q36" i="2"/>
  <c r="Q35" i="2"/>
  <c r="AB35" i="2" s="1"/>
  <c r="AA35" i="2" s="1"/>
  <c r="Q34" i="2"/>
  <c r="AB34" i="2" s="1"/>
  <c r="AA34" i="2" s="1"/>
  <c r="Q33" i="2"/>
  <c r="Q32" i="2"/>
  <c r="Q31" i="2"/>
  <c r="Q30" i="2"/>
  <c r="AB30" i="2" s="1"/>
  <c r="AA30" i="2" s="1"/>
  <c r="Q29" i="2"/>
  <c r="AB29" i="2" s="1"/>
  <c r="AA29" i="2" s="1"/>
  <c r="Q26" i="2"/>
  <c r="Q25" i="2"/>
  <c r="AB25" i="2" s="1"/>
  <c r="AA25" i="2" s="1"/>
  <c r="Q24" i="2"/>
  <c r="X24" i="2" s="1"/>
  <c r="Q22" i="2"/>
  <c r="Q21" i="2"/>
  <c r="Q20" i="2"/>
  <c r="AB20" i="2" s="1"/>
  <c r="AA20" i="2" s="1"/>
  <c r="Q19" i="2"/>
  <c r="AB19" i="2" s="1"/>
  <c r="AA19" i="2" s="1"/>
  <c r="Q18" i="2"/>
  <c r="Q17" i="2"/>
  <c r="Q16" i="2"/>
  <c r="I44" i="2"/>
  <c r="I36" i="2"/>
  <c r="I31" i="2"/>
  <c r="I26" i="2"/>
  <c r="I21" i="2"/>
  <c r="H16" i="2"/>
  <c r="I16" i="2" s="1"/>
  <c r="H48" i="2"/>
  <c r="H47" i="2"/>
  <c r="H40" i="2"/>
  <c r="H39" i="2"/>
  <c r="H35" i="2"/>
  <c r="H34" i="2"/>
  <c r="H30" i="2"/>
  <c r="H29" i="2"/>
  <c r="H25" i="2"/>
  <c r="I25" i="2" s="1"/>
  <c r="H24" i="2"/>
  <c r="H20" i="2"/>
  <c r="H19" i="2"/>
  <c r="T47" i="2"/>
  <c r="X47" i="2"/>
  <c r="Z47" i="2" s="1"/>
  <c r="AB47" i="2"/>
  <c r="AA47" i="2" s="1"/>
  <c r="T48" i="2"/>
  <c r="X23" i="2" l="1"/>
  <c r="AB23" i="2"/>
  <c r="AA23" i="2" s="1"/>
  <c r="X27" i="2"/>
  <c r="AB27" i="2"/>
  <c r="AA27" i="2" s="1"/>
  <c r="AB46" i="2"/>
  <c r="AA46" i="2" s="1"/>
  <c r="X46" i="2"/>
  <c r="AB45" i="2"/>
  <c r="AA45" i="2" s="1"/>
  <c r="X45" i="2"/>
  <c r="X44" i="2"/>
  <c r="Z44" i="2" s="1"/>
  <c r="AB38" i="2"/>
  <c r="AA38" i="2" s="1"/>
  <c r="X38" i="2"/>
  <c r="X37" i="2"/>
  <c r="X36" i="2"/>
  <c r="AB37" i="2"/>
  <c r="AA37" i="2" s="1"/>
  <c r="X31" i="2"/>
  <c r="Y31" i="2" s="1"/>
  <c r="X26" i="2"/>
  <c r="X21" i="2"/>
  <c r="Y21" i="2" s="1"/>
  <c r="X16" i="2"/>
  <c r="Y16" i="2" s="1"/>
  <c r="X25" i="2"/>
  <c r="Z25" i="2" s="1"/>
  <c r="Y39" i="2"/>
  <c r="Z39" i="2"/>
  <c r="Z24" i="2"/>
  <c r="Y24" i="2"/>
  <c r="Y40" i="2"/>
  <c r="Z40" i="2"/>
  <c r="AB39" i="2"/>
  <c r="AA39" i="2" s="1"/>
  <c r="X34" i="2"/>
  <c r="AB24" i="2"/>
  <c r="AA24" i="2" s="1"/>
  <c r="AB40" i="2"/>
  <c r="AA40" i="2" s="1"/>
  <c r="X19" i="2"/>
  <c r="X35" i="2"/>
  <c r="X20" i="2"/>
  <c r="X29" i="2"/>
  <c r="X30" i="2"/>
  <c r="I48" i="2"/>
  <c r="Y47" i="2"/>
  <c r="AC47" i="2" s="1"/>
  <c r="I47" i="2"/>
  <c r="I40" i="2"/>
  <c r="I39" i="2"/>
  <c r="I35" i="2"/>
  <c r="I34" i="2"/>
  <c r="I30" i="2"/>
  <c r="I29" i="2"/>
  <c r="I24" i="2"/>
  <c r="I20" i="2"/>
  <c r="I19" i="2"/>
  <c r="Q48" i="2"/>
  <c r="Z23" i="2" l="1"/>
  <c r="Y23" i="2"/>
  <c r="AC23" i="2" s="1"/>
  <c r="Y44" i="2"/>
  <c r="Z27" i="2"/>
  <c r="Y27" i="2"/>
  <c r="AC27" i="2" s="1"/>
  <c r="Z31" i="2"/>
  <c r="X32" i="2" s="1"/>
  <c r="Z32" i="2" s="1"/>
  <c r="X33" i="2" s="1"/>
  <c r="Z33" i="2" s="1"/>
  <c r="Y25" i="2"/>
  <c r="AC25" i="2" s="1"/>
  <c r="AC24" i="2"/>
  <c r="Z21" i="2"/>
  <c r="Z30" i="2"/>
  <c r="Y30" i="2"/>
  <c r="AC30" i="2" s="1"/>
  <c r="Z20" i="2"/>
  <c r="Y20" i="2"/>
  <c r="AC20" i="2" s="1"/>
  <c r="Z38" i="2"/>
  <c r="Y38" i="2"/>
  <c r="AC38" i="2" s="1"/>
  <c r="AC39" i="2"/>
  <c r="Z46" i="2"/>
  <c r="Y46" i="2"/>
  <c r="AC46" i="2" s="1"/>
  <c r="Z37" i="2"/>
  <c r="Y37" i="2"/>
  <c r="AC37" i="2" s="1"/>
  <c r="Z26" i="2"/>
  <c r="Y26" i="2"/>
  <c r="AC40" i="2"/>
  <c r="Z35" i="2"/>
  <c r="Y35" i="2"/>
  <c r="AC35" i="2" s="1"/>
  <c r="Z19" i="2"/>
  <c r="Y19" i="2"/>
  <c r="AC19" i="2" s="1"/>
  <c r="Z45" i="2"/>
  <c r="Y45" i="2"/>
  <c r="AC45" i="2" s="1"/>
  <c r="Z36" i="2"/>
  <c r="Y36" i="2"/>
  <c r="Z29" i="2"/>
  <c r="Y29" i="2"/>
  <c r="AC29" i="2" s="1"/>
  <c r="Z34" i="2"/>
  <c r="Y34" i="2"/>
  <c r="AC34" i="2" s="1"/>
  <c r="Z16" i="2"/>
  <c r="X17" i="2" s="1"/>
  <c r="Z17" i="2" s="1"/>
  <c r="X18" i="2" s="1"/>
  <c r="Z18" i="2" s="1"/>
  <c r="X48" i="2"/>
  <c r="AB48" i="2"/>
  <c r="AA48" i="2" s="1"/>
  <c r="Y33" i="2" l="1"/>
  <c r="Y32" i="2"/>
  <c r="Y18" i="2"/>
  <c r="X22" i="2"/>
  <c r="Z22" i="2" s="1"/>
  <c r="Y17" i="2"/>
  <c r="Z48" i="2"/>
  <c r="Y48" i="2"/>
  <c r="AC48" i="2" s="1"/>
  <c r="Y22" i="2" l="1"/>
  <c r="F221" i="6"/>
  <c r="F220" i="6"/>
  <c r="F219" i="6"/>
  <c r="F218" i="6"/>
  <c r="F217" i="6"/>
  <c r="F216" i="6"/>
  <c r="F215" i="6"/>
  <c r="F214" i="6"/>
  <c r="F213" i="6"/>
  <c r="F212" i="6"/>
  <c r="F211" i="6"/>
  <c r="F210" i="6"/>
  <c r="AL44" i="3"/>
  <c r="AJ44" i="3"/>
  <c r="AF44" i="3"/>
  <c r="AD44" i="3"/>
  <c r="Z44" i="3"/>
  <c r="X44" i="3"/>
  <c r="T44" i="3"/>
  <c r="R44" i="3"/>
  <c r="N44" i="3"/>
  <c r="L44" i="3"/>
  <c r="AL36" i="3"/>
  <c r="AJ36" i="3"/>
  <c r="AF36" i="3"/>
  <c r="AD36" i="3"/>
  <c r="Z36" i="3"/>
  <c r="X36" i="3"/>
  <c r="T36" i="3"/>
  <c r="R36" i="3"/>
  <c r="N36" i="3"/>
  <c r="L36" i="3"/>
  <c r="AL28" i="3"/>
  <c r="AJ28" i="3"/>
  <c r="AF28" i="3"/>
  <c r="AD28" i="3"/>
  <c r="Z28" i="3"/>
  <c r="X28" i="3"/>
  <c r="T28" i="3"/>
  <c r="R28" i="3"/>
  <c r="N28" i="3"/>
  <c r="L28" i="3"/>
  <c r="AL20" i="3"/>
  <c r="AJ20" i="3"/>
  <c r="AF20" i="3"/>
  <c r="AD20" i="3"/>
  <c r="Z20" i="3"/>
  <c r="X20" i="3"/>
  <c r="T20" i="3"/>
  <c r="R20" i="3"/>
  <c r="N20" i="3"/>
  <c r="L20" i="3"/>
  <c r="AL12" i="3"/>
  <c r="AJ12" i="3"/>
  <c r="AF12" i="3"/>
  <c r="AD12" i="3"/>
  <c r="Z12" i="3"/>
  <c r="X12" i="3"/>
  <c r="T12" i="3"/>
  <c r="R12" i="3"/>
  <c r="N12" i="3"/>
  <c r="L12" i="3"/>
  <c r="B223" i="6"/>
  <c r="B221" i="6"/>
  <c r="B222" i="6"/>
  <c r="H210" i="6"/>
  <c r="K48" i="2" l="1"/>
  <c r="L48" i="2" s="1"/>
  <c r="M48" i="2" s="1"/>
  <c r="K40" i="2"/>
  <c r="L40" i="2" s="1"/>
  <c r="M40" i="2" s="1"/>
  <c r="K47" i="2"/>
  <c r="L47" i="2" s="1"/>
  <c r="K35" i="2"/>
  <c r="L35" i="2" s="1"/>
  <c r="M35" i="2" s="1"/>
  <c r="K39" i="2"/>
  <c r="L39" i="2" s="1"/>
  <c r="K30" i="2"/>
  <c r="L30" i="2" s="1"/>
  <c r="M30" i="2" s="1"/>
  <c r="K34" i="2"/>
  <c r="L34" i="2" s="1"/>
  <c r="K25" i="2"/>
  <c r="L25" i="2" s="1"/>
  <c r="N25" i="2" s="1"/>
  <c r="K29" i="2"/>
  <c r="L29" i="2" s="1"/>
  <c r="K20" i="2"/>
  <c r="L20" i="2" s="1"/>
  <c r="M20" i="2" s="1"/>
  <c r="K24" i="2"/>
  <c r="L24" i="2" s="1"/>
  <c r="K19" i="2"/>
  <c r="L19" i="2" s="1"/>
  <c r="M19" i="2" s="1"/>
  <c r="L34" i="3"/>
  <c r="J12" i="3"/>
  <c r="N48" i="2" l="1"/>
  <c r="N40" i="2"/>
  <c r="M47" i="2"/>
  <c r="N47" i="2"/>
  <c r="N35" i="2"/>
  <c r="M39" i="2"/>
  <c r="N39" i="2"/>
  <c r="N30" i="2"/>
  <c r="M34" i="2"/>
  <c r="N34" i="2"/>
  <c r="M25" i="2"/>
  <c r="M29" i="2"/>
  <c r="N29" i="2"/>
  <c r="N20" i="2"/>
  <c r="M24" i="2"/>
  <c r="N24" i="2"/>
  <c r="N19" i="2"/>
  <c r="AF54" i="4"/>
  <c r="AI54" i="4"/>
  <c r="L32" i="4"/>
  <c r="L54" i="4"/>
  <c r="AB52" i="4"/>
  <c r="AB54" i="4"/>
  <c r="Y48" i="4"/>
  <c r="AA48" i="4"/>
  <c r="U30" i="4"/>
  <c r="Y52" i="4"/>
  <c r="AA52" i="4"/>
  <c r="U54" i="4"/>
  <c r="M24" i="4"/>
  <c r="U46" i="4"/>
  <c r="AH20" i="3"/>
  <c r="AF10" i="3"/>
  <c r="V12" i="3"/>
  <c r="V28" i="3"/>
  <c r="P36" i="3"/>
  <c r="Z34" i="3"/>
  <c r="AH26" i="3"/>
  <c r="T10" i="3"/>
  <c r="V20" i="3"/>
  <c r="AB26" i="3"/>
  <c r="AL18" i="3"/>
  <c r="AH28" i="3"/>
  <c r="P26" i="3"/>
  <c r="AB36" i="3"/>
  <c r="AH36" i="3"/>
  <c r="J20" i="3"/>
  <c r="J18" i="3"/>
  <c r="N42" i="3"/>
  <c r="AH44" i="3"/>
  <c r="AH42" i="3"/>
  <c r="P34" i="3"/>
  <c r="J34" i="3"/>
  <c r="AB42" i="3"/>
  <c r="J36" i="3"/>
  <c r="L26" i="3"/>
  <c r="L18" i="3"/>
  <c r="AJ34" i="3"/>
  <c r="V36" i="3"/>
  <c r="V18" i="3"/>
  <c r="AH10" i="3"/>
  <c r="AB18" i="3"/>
  <c r="AL10" i="3"/>
  <c r="Z10" i="3"/>
  <c r="AL42" i="3"/>
  <c r="J44" i="3"/>
  <c r="AB28" i="3"/>
  <c r="V44" i="3"/>
  <c r="AL26" i="3"/>
  <c r="N34" i="3"/>
  <c r="AF42" i="3"/>
  <c r="T34" i="3"/>
  <c r="Z42" i="3"/>
  <c r="L42" i="3"/>
  <c r="R10" i="3"/>
  <c r="AJ42" i="3"/>
  <c r="X42" i="3"/>
  <c r="R18" i="3"/>
  <c r="X26" i="3"/>
  <c r="AJ26" i="3"/>
  <c r="X18" i="3"/>
  <c r="X10" i="3"/>
  <c r="AB20" i="3"/>
  <c r="AB12" i="3"/>
  <c r="AB44" i="3"/>
  <c r="P44" i="3"/>
  <c r="J28" i="3"/>
  <c r="AH12" i="3"/>
  <c r="N10" i="3"/>
  <c r="P10" i="3"/>
  <c r="AH34" i="3"/>
  <c r="AH18" i="3"/>
  <c r="P42" i="3"/>
  <c r="AB34" i="3"/>
  <c r="V42" i="3"/>
  <c r="N26" i="3"/>
  <c r="V10" i="3"/>
  <c r="AF34" i="3"/>
  <c r="AF18" i="3"/>
  <c r="Z18" i="3"/>
  <c r="T18" i="3"/>
  <c r="T42" i="3"/>
  <c r="V34" i="3"/>
  <c r="P18" i="3"/>
  <c r="J10" i="3"/>
  <c r="J26" i="3"/>
  <c r="AB10" i="3"/>
  <c r="J42" i="3"/>
  <c r="N18" i="3"/>
  <c r="AF26" i="3"/>
  <c r="Z26" i="3"/>
  <c r="T26" i="3"/>
  <c r="AL34" i="3"/>
  <c r="AF50" i="4"/>
  <c r="T50" i="4"/>
  <c r="Z50" i="4"/>
  <c r="AL40" i="4"/>
  <c r="Z40" i="4"/>
  <c r="N40" i="4"/>
  <c r="AF40" i="4"/>
  <c r="N50" i="4"/>
  <c r="AF30" i="4"/>
  <c r="AL50" i="4"/>
  <c r="Z30" i="4"/>
  <c r="T30" i="4"/>
  <c r="N30" i="4"/>
  <c r="AL20" i="4"/>
  <c r="Z20" i="4"/>
  <c r="N20" i="4"/>
  <c r="AL10" i="4"/>
  <c r="T40" i="4"/>
  <c r="AF20" i="4"/>
  <c r="T20" i="4"/>
  <c r="AL30" i="4"/>
  <c r="Z10" i="4"/>
  <c r="N10" i="4"/>
  <c r="AF10" i="4"/>
  <c r="T10" i="4"/>
  <c r="AF52" i="4"/>
  <c r="T52" i="4"/>
  <c r="AL52" i="4"/>
  <c r="N52" i="4"/>
  <c r="AL42" i="4"/>
  <c r="Z42" i="4"/>
  <c r="N42" i="4"/>
  <c r="Z52" i="4"/>
  <c r="T42" i="4"/>
  <c r="AF42" i="4"/>
  <c r="AF32" i="4"/>
  <c r="T32" i="4"/>
  <c r="AL32" i="4"/>
  <c r="AL22" i="4"/>
  <c r="Z22" i="4"/>
  <c r="N22" i="4"/>
  <c r="AL12" i="4"/>
  <c r="Z12" i="4"/>
  <c r="N12" i="4"/>
  <c r="N32" i="4"/>
  <c r="AF22" i="4"/>
  <c r="T22" i="4"/>
  <c r="AF12" i="4"/>
  <c r="T12" i="4"/>
  <c r="Z32" i="4"/>
  <c r="AE50" i="4"/>
  <c r="S50" i="4"/>
  <c r="AK50" i="4"/>
  <c r="M50" i="4"/>
  <c r="AE40" i="4"/>
  <c r="S40" i="4"/>
  <c r="Y50" i="4"/>
  <c r="AK40" i="4"/>
  <c r="Y40" i="4"/>
  <c r="M40" i="4"/>
  <c r="AK30" i="4"/>
  <c r="AE30" i="4"/>
  <c r="S30" i="4"/>
  <c r="Y30" i="4"/>
  <c r="M30" i="4"/>
  <c r="AK20" i="4"/>
  <c r="Y20" i="4"/>
  <c r="M20" i="4"/>
  <c r="AK10" i="4"/>
  <c r="AE10" i="4"/>
  <c r="S10" i="4"/>
  <c r="S20" i="4"/>
  <c r="AE20" i="4"/>
  <c r="Y10" i="4"/>
  <c r="M10" i="4"/>
  <c r="Z54" i="4"/>
  <c r="N44" i="4"/>
  <c r="T44" i="4"/>
  <c r="T34" i="4"/>
  <c r="AF44" i="4"/>
  <c r="Z34" i="4"/>
  <c r="Z24" i="4"/>
  <c r="AL14" i="4"/>
  <c r="N14" i="4"/>
  <c r="AF24" i="4"/>
  <c r="AF14" i="4"/>
  <c r="N34" i="4"/>
  <c r="AF48" i="4"/>
  <c r="T48" i="4"/>
  <c r="AL48" i="4"/>
  <c r="N48" i="4"/>
  <c r="AF38" i="4"/>
  <c r="T38" i="4"/>
  <c r="AL28" i="4"/>
  <c r="Z28" i="4"/>
  <c r="N28" i="4"/>
  <c r="AL18" i="4"/>
  <c r="Z18" i="4"/>
  <c r="N18" i="4"/>
  <c r="N38" i="4"/>
  <c r="Z48" i="4"/>
  <c r="Z38" i="4"/>
  <c r="AF28" i="4"/>
  <c r="T28" i="4"/>
  <c r="AF18" i="4"/>
  <c r="T18" i="4"/>
  <c r="AL38" i="4"/>
  <c r="AL8" i="4"/>
  <c r="Z8" i="4"/>
  <c r="N8" i="4"/>
  <c r="AF8" i="4"/>
  <c r="T8" i="4"/>
  <c r="AI52" i="4"/>
  <c r="W52" i="4"/>
  <c r="K52" i="4"/>
  <c r="Q52" i="4"/>
  <c r="AI42" i="4"/>
  <c r="W42" i="4"/>
  <c r="K42" i="4"/>
  <c r="AC52" i="4"/>
  <c r="AC42" i="4"/>
  <c r="Q42" i="4"/>
  <c r="AC32" i="4"/>
  <c r="Q32" i="4"/>
  <c r="AI32" i="4"/>
  <c r="W32" i="4"/>
  <c r="K32" i="4"/>
  <c r="AC22" i="4"/>
  <c r="Q22" i="4"/>
  <c r="AC12" i="4"/>
  <c r="Q12" i="4"/>
  <c r="K22" i="4"/>
  <c r="W12" i="4"/>
  <c r="W22" i="4"/>
  <c r="AI12" i="4"/>
  <c r="AI22" i="4"/>
  <c r="K12" i="4"/>
  <c r="W54" i="4"/>
  <c r="K54" i="4"/>
  <c r="K44" i="4"/>
  <c r="Q54" i="4"/>
  <c r="Q34" i="4"/>
  <c r="W34" i="4"/>
  <c r="AC14" i="4"/>
  <c r="Q14" i="4"/>
  <c r="W24" i="4"/>
  <c r="AI14" i="4"/>
  <c r="AD26" i="3"/>
  <c r="AD10" i="3"/>
  <c r="AD18" i="3"/>
  <c r="AJ10" i="3"/>
  <c r="R34" i="3"/>
  <c r="AD34" i="3"/>
  <c r="AJ18" i="3"/>
  <c r="L10" i="3"/>
  <c r="R26" i="3"/>
  <c r="R42" i="3"/>
  <c r="AD42" i="3"/>
  <c r="X34" i="3"/>
  <c r="V26" i="3"/>
  <c r="P28" i="3"/>
  <c r="P12" i="3"/>
  <c r="P20" i="3"/>
  <c r="T14" i="4" l="1"/>
  <c r="AL34" i="4"/>
  <c r="N24" i="4"/>
  <c r="AL54" i="4"/>
  <c r="AF34" i="4"/>
  <c r="Z44" i="4"/>
  <c r="S52" i="4"/>
  <c r="T24" i="4"/>
  <c r="Z14" i="4"/>
  <c r="AL24" i="4"/>
  <c r="N54" i="4"/>
  <c r="AL44" i="4"/>
  <c r="T54" i="4"/>
  <c r="W14" i="4"/>
  <c r="AC24" i="4"/>
  <c r="AC34" i="4"/>
  <c r="W44" i="4"/>
  <c r="U32" i="4"/>
  <c r="K14" i="4"/>
  <c r="K34" i="4"/>
  <c r="Q44" i="4"/>
  <c r="AC54" i="4"/>
  <c r="AB42" i="4"/>
  <c r="AG34" i="4"/>
  <c r="AE28" i="4"/>
  <c r="P12" i="4"/>
  <c r="AB32" i="4"/>
  <c r="AM8" i="4"/>
  <c r="AG18" i="4"/>
  <c r="AH32" i="4"/>
  <c r="V52" i="4"/>
  <c r="AH12" i="4"/>
  <c r="O34" i="4"/>
  <c r="AM48" i="4"/>
  <c r="AB12" i="4"/>
  <c r="J22" i="4"/>
  <c r="P42" i="4"/>
  <c r="U8" i="4"/>
  <c r="AM38" i="4"/>
  <c r="AH52" i="4"/>
  <c r="V32" i="4"/>
  <c r="AH42" i="4"/>
  <c r="AI24" i="4"/>
  <c r="K24" i="4"/>
  <c r="Q24" i="4"/>
  <c r="AI34" i="4"/>
  <c r="AC44" i="4"/>
  <c r="AI44" i="4"/>
  <c r="AA18" i="4"/>
  <c r="U38" i="4"/>
  <c r="S54" i="4"/>
  <c r="M22" i="4"/>
  <c r="R24" i="4"/>
  <c r="AM52" i="4"/>
  <c r="O22" i="4"/>
  <c r="AM20" i="4"/>
  <c r="O18" i="4"/>
  <c r="U28" i="4"/>
  <c r="U48" i="4"/>
  <c r="P22" i="4"/>
  <c r="J12" i="4"/>
  <c r="V22" i="4"/>
  <c r="J52" i="4"/>
  <c r="J42" i="4"/>
  <c r="P52" i="4"/>
  <c r="O54" i="4"/>
  <c r="J32" i="4"/>
  <c r="AB22" i="4"/>
  <c r="V12" i="4"/>
  <c r="AH22" i="4"/>
  <c r="P32" i="4"/>
  <c r="V42" i="4"/>
  <c r="U14" i="4"/>
  <c r="P14" i="4"/>
  <c r="AA28" i="4"/>
  <c r="AA8" i="4"/>
  <c r="AG28" i="4"/>
  <c r="O48" i="4"/>
  <c r="AE34" i="4"/>
  <c r="AE32" i="4"/>
  <c r="AJ34" i="4"/>
  <c r="AD12" i="4"/>
  <c r="M42" i="4"/>
  <c r="X14" i="4"/>
  <c r="AD44" i="4"/>
  <c r="AA40" i="4"/>
  <c r="S12" i="4"/>
  <c r="AK52" i="4"/>
  <c r="AJ24" i="4"/>
  <c r="X54" i="4"/>
  <c r="AM18" i="4"/>
  <c r="O28" i="4"/>
  <c r="AM28" i="4"/>
  <c r="AA38" i="4"/>
  <c r="AG48" i="4"/>
  <c r="AE22" i="4"/>
  <c r="Y22" i="4"/>
  <c r="Y42" i="4"/>
  <c r="AE52" i="4"/>
  <c r="AE12" i="4"/>
  <c r="Y12" i="4"/>
  <c r="AK22" i="4"/>
  <c r="Y32" i="4"/>
  <c r="AK42" i="4"/>
  <c r="AE42" i="4"/>
  <c r="AH24" i="4"/>
  <c r="AD34" i="4"/>
  <c r="L24" i="4"/>
  <c r="R14" i="4"/>
  <c r="L34" i="4"/>
  <c r="AD54" i="4"/>
  <c r="AJ44" i="4"/>
  <c r="AA50" i="4"/>
  <c r="M12" i="4"/>
  <c r="M32" i="4"/>
  <c r="S42" i="4"/>
  <c r="L44" i="4"/>
  <c r="AJ14" i="4"/>
  <c r="R34" i="4"/>
  <c r="AD24" i="4"/>
  <c r="X44" i="4"/>
  <c r="R54" i="4"/>
  <c r="AJ54" i="4"/>
  <c r="AM14" i="4"/>
  <c r="AM44" i="4"/>
  <c r="S22" i="4"/>
  <c r="AK12" i="4"/>
  <c r="S32" i="4"/>
  <c r="AK32" i="4"/>
  <c r="M52" i="4"/>
  <c r="AB34" i="4"/>
  <c r="L14" i="4"/>
  <c r="X24" i="4"/>
  <c r="AD14" i="4"/>
  <c r="X34" i="4"/>
  <c r="R44" i="4"/>
  <c r="AG8" i="4"/>
  <c r="O8" i="4"/>
  <c r="U18" i="4"/>
  <c r="O38" i="4"/>
  <c r="AG38" i="4"/>
  <c r="AK18" i="4"/>
  <c r="AA22" i="4"/>
  <c r="AG42" i="4"/>
  <c r="U22" i="4"/>
  <c r="U52" i="4"/>
  <c r="S38" i="4"/>
  <c r="AA12" i="4"/>
  <c r="AG22" i="4"/>
  <c r="AG52" i="4"/>
  <c r="AK38" i="4"/>
  <c r="AC47" i="4"/>
  <c r="AK54" i="4"/>
  <c r="Y54" i="4"/>
  <c r="Y34" i="4"/>
  <c r="S34" i="4"/>
  <c r="AK14" i="4"/>
  <c r="S14" i="4"/>
  <c r="M54" i="4"/>
  <c r="Y44" i="4"/>
  <c r="M34" i="4"/>
  <c r="AK24" i="4"/>
  <c r="Y14" i="4"/>
  <c r="S24" i="4"/>
  <c r="AE54" i="4"/>
  <c r="AE44" i="4"/>
  <c r="M44" i="4"/>
  <c r="AK44" i="4"/>
  <c r="Y24" i="4"/>
  <c r="M14" i="4"/>
  <c r="AE14" i="4"/>
  <c r="O50" i="4"/>
  <c r="O40" i="4"/>
  <c r="AM30" i="4"/>
  <c r="AG20" i="4"/>
  <c r="AM10" i="4"/>
  <c r="O20" i="4"/>
  <c r="U50" i="4"/>
  <c r="AG50" i="4"/>
  <c r="AA30" i="4"/>
  <c r="U20" i="4"/>
  <c r="AA10" i="4"/>
  <c r="U10" i="4"/>
  <c r="AM50" i="4"/>
  <c r="AM40" i="4"/>
  <c r="AG40" i="4"/>
  <c r="O30" i="4"/>
  <c r="AG10" i="4"/>
  <c r="O10" i="4"/>
  <c r="AA20" i="4"/>
  <c r="AD52" i="4"/>
  <c r="R52" i="4"/>
  <c r="L42" i="4"/>
  <c r="R12" i="4"/>
  <c r="AJ22" i="4"/>
  <c r="X12" i="4"/>
  <c r="AJ52" i="4"/>
  <c r="AD42" i="4"/>
  <c r="AJ32" i="4"/>
  <c r="AD22" i="4"/>
  <c r="R32" i="4"/>
  <c r="X22" i="4"/>
  <c r="L12" i="4"/>
  <c r="X52" i="4"/>
  <c r="R42" i="4"/>
  <c r="X32" i="4"/>
  <c r="R22" i="4"/>
  <c r="X42" i="4"/>
  <c r="L22" i="4"/>
  <c r="AJ12" i="4"/>
  <c r="AH44" i="4"/>
  <c r="AD32" i="4"/>
  <c r="L52" i="4"/>
  <c r="V14" i="4"/>
  <c r="U40" i="4"/>
  <c r="AE24" i="4"/>
  <c r="S44" i="4"/>
  <c r="P54" i="4"/>
  <c r="V44" i="4"/>
  <c r="P34" i="4"/>
  <c r="V24" i="4"/>
  <c r="J14" i="4"/>
  <c r="AB24" i="4"/>
  <c r="AH54" i="4"/>
  <c r="J44" i="4"/>
  <c r="P44" i="4"/>
  <c r="J24" i="4"/>
  <c r="V34" i="4"/>
  <c r="P24" i="4"/>
  <c r="J54" i="4"/>
  <c r="V54" i="4"/>
  <c r="J34" i="4"/>
  <c r="AH14" i="4"/>
  <c r="AB44" i="4"/>
  <c r="AB14" i="4"/>
  <c r="AJ42" i="4"/>
  <c r="AH34" i="4"/>
  <c r="AG30" i="4"/>
  <c r="AK34" i="4"/>
  <c r="AM12" i="4"/>
  <c r="AM32" i="4"/>
  <c r="AM42" i="4"/>
  <c r="AE8" i="4"/>
  <c r="S48" i="4"/>
  <c r="M8" i="4"/>
  <c r="AE18" i="4"/>
  <c r="S18" i="4"/>
  <c r="M28" i="4"/>
  <c r="AE38" i="4"/>
  <c r="M48" i="4"/>
  <c r="AE48" i="4"/>
  <c r="Y8" i="4"/>
  <c r="S28" i="4"/>
  <c r="M18" i="4"/>
  <c r="Y28" i="4"/>
  <c r="M38" i="4"/>
  <c r="AK48" i="4"/>
  <c r="AK8" i="4"/>
  <c r="S8" i="4"/>
  <c r="Y18" i="4"/>
  <c r="AK28" i="4"/>
  <c r="Y38" i="4"/>
  <c r="AG14" i="4"/>
  <c r="AA34" i="4"/>
  <c r="O44" i="4"/>
  <c r="AA54" i="4"/>
  <c r="O14" i="4"/>
  <c r="AA14" i="4"/>
  <c r="U24" i="4"/>
  <c r="AM34" i="4"/>
  <c r="AG44" i="4"/>
  <c r="AA44" i="4"/>
  <c r="AM54" i="4"/>
  <c r="O12" i="4"/>
  <c r="U12" i="4"/>
  <c r="O32" i="4"/>
  <c r="AG32" i="4"/>
  <c r="O42" i="4"/>
  <c r="O52" i="4"/>
  <c r="AA24" i="4"/>
  <c r="U44" i="4"/>
  <c r="AM24" i="4"/>
  <c r="O24" i="4"/>
  <c r="AG24" i="4"/>
  <c r="U34" i="4"/>
  <c r="AG54" i="4"/>
  <c r="AM22" i="4"/>
  <c r="AG12" i="4"/>
  <c r="AA32" i="4"/>
  <c r="U42" i="4"/>
  <c r="AA42" i="4"/>
  <c r="U36" i="4"/>
  <c r="AM16" i="4"/>
  <c r="O6" i="4"/>
  <c r="AA46" i="4"/>
  <c r="AG16" i="4"/>
  <c r="AM46" i="4"/>
  <c r="AG6" i="4"/>
  <c r="AG26" i="4"/>
  <c r="AA6" i="4"/>
  <c r="AG36" i="4"/>
  <c r="AA26" i="4"/>
  <c r="O16" i="4"/>
  <c r="O36" i="4"/>
  <c r="AG46" i="4"/>
  <c r="AM26" i="4"/>
  <c r="O26" i="4"/>
  <c r="U16" i="4"/>
  <c r="AA36" i="4"/>
  <c r="O46" i="4"/>
  <c r="U6" i="4"/>
  <c r="AA16" i="4"/>
  <c r="AM6" i="4"/>
  <c r="U26" i="4"/>
  <c r="AM36" i="4"/>
  <c r="AK53" i="4"/>
  <c r="Y53" i="4"/>
  <c r="M53" i="4"/>
  <c r="S53" i="4"/>
  <c r="AK43" i="4"/>
  <c r="Y43" i="4"/>
  <c r="M43" i="4"/>
  <c r="AE53" i="4"/>
  <c r="AE43" i="4"/>
  <c r="S43" i="4"/>
  <c r="AE33" i="4"/>
  <c r="S33" i="4"/>
  <c r="AK33" i="4"/>
  <c r="Y33" i="4"/>
  <c r="M33" i="4"/>
  <c r="AE23" i="4"/>
  <c r="S23" i="4"/>
  <c r="AE13" i="4"/>
  <c r="S13" i="4"/>
  <c r="M23" i="4"/>
  <c r="Y13" i="4"/>
  <c r="Y23" i="4"/>
  <c r="AK13" i="4"/>
  <c r="AK23" i="4"/>
  <c r="M13" i="4"/>
  <c r="AL51" i="4"/>
  <c r="Z51" i="4"/>
  <c r="N51" i="4"/>
  <c r="T51" i="4"/>
  <c r="AF41" i="4"/>
  <c r="T41" i="4"/>
  <c r="N41" i="4"/>
  <c r="AL31" i="4"/>
  <c r="Z31" i="4"/>
  <c r="N31" i="4"/>
  <c r="Z41" i="4"/>
  <c r="T31" i="4"/>
  <c r="AF21" i="4"/>
  <c r="T21" i="4"/>
  <c r="AF11" i="4"/>
  <c r="T11" i="4"/>
  <c r="AF31" i="4"/>
  <c r="AL21" i="4"/>
  <c r="Z21" i="4"/>
  <c r="N21" i="4"/>
  <c r="AL11" i="4"/>
  <c r="AF51" i="4"/>
  <c r="N11" i="4"/>
  <c r="AL41" i="4"/>
  <c r="Z11" i="4"/>
  <c r="AH53" i="4"/>
  <c r="V53" i="4"/>
  <c r="J53" i="4"/>
  <c r="P53" i="4"/>
  <c r="AB43" i="4"/>
  <c r="P43" i="4"/>
  <c r="AB53" i="4"/>
  <c r="V43" i="4"/>
  <c r="AH43" i="4"/>
  <c r="AH33" i="4"/>
  <c r="V33" i="4"/>
  <c r="J33" i="4"/>
  <c r="AB23" i="4"/>
  <c r="P23" i="4"/>
  <c r="AB13" i="4"/>
  <c r="P13" i="4"/>
  <c r="J43" i="4"/>
  <c r="P33" i="4"/>
  <c r="AH23" i="4"/>
  <c r="V23" i="4"/>
  <c r="J23" i="4"/>
  <c r="AH13" i="4"/>
  <c r="V13" i="4"/>
  <c r="J13" i="4"/>
  <c r="AB33" i="4"/>
  <c r="AH55" i="4"/>
  <c r="V55" i="4"/>
  <c r="J55" i="4"/>
  <c r="AH45" i="4"/>
  <c r="V45" i="4"/>
  <c r="J45" i="4"/>
  <c r="AB55" i="4"/>
  <c r="P45" i="4"/>
  <c r="AH35" i="4"/>
  <c r="V35" i="4"/>
  <c r="J35" i="4"/>
  <c r="P55" i="4"/>
  <c r="AB45" i="4"/>
  <c r="AB35" i="4"/>
  <c r="AB25" i="4"/>
  <c r="P25" i="4"/>
  <c r="AB15" i="4"/>
  <c r="P15" i="4"/>
  <c r="AH25" i="4"/>
  <c r="V25" i="4"/>
  <c r="J25" i="4"/>
  <c r="AH15" i="4"/>
  <c r="V15" i="4"/>
  <c r="J15" i="4"/>
  <c r="P35" i="4"/>
  <c r="Q47" i="4"/>
  <c r="W37" i="4"/>
  <c r="AI7" i="4"/>
  <c r="AD55" i="4"/>
  <c r="R55" i="4"/>
  <c r="AD45" i="4"/>
  <c r="R45" i="4"/>
  <c r="AJ55" i="4"/>
  <c r="L55" i="4"/>
  <c r="X45" i="4"/>
  <c r="L45" i="4"/>
  <c r="X55" i="4"/>
  <c r="AJ45" i="4"/>
  <c r="AD35" i="4"/>
  <c r="R35" i="4"/>
  <c r="L35" i="4"/>
  <c r="AJ25" i="4"/>
  <c r="X25" i="4"/>
  <c r="L25" i="4"/>
  <c r="AJ15" i="4"/>
  <c r="X15" i="4"/>
  <c r="L15" i="4"/>
  <c r="X35" i="4"/>
  <c r="AJ35" i="4"/>
  <c r="AD25" i="4"/>
  <c r="R25" i="4"/>
  <c r="AD15" i="4"/>
  <c r="R15" i="4"/>
  <c r="AG53" i="4"/>
  <c r="U53" i="4"/>
  <c r="AA53" i="4"/>
  <c r="AG43" i="4"/>
  <c r="U43" i="4"/>
  <c r="AM53" i="4"/>
  <c r="O53" i="4"/>
  <c r="AM43" i="4"/>
  <c r="AA43" i="4"/>
  <c r="O43" i="4"/>
  <c r="AM33" i="4"/>
  <c r="AA33" i="4"/>
  <c r="O33" i="4"/>
  <c r="AG33" i="4"/>
  <c r="U33" i="4"/>
  <c r="AM23" i="4"/>
  <c r="AA23" i="4"/>
  <c r="O23" i="4"/>
  <c r="AM13" i="4"/>
  <c r="AA13" i="4"/>
  <c r="O13" i="4"/>
  <c r="U13" i="4"/>
  <c r="U23" i="4"/>
  <c r="AG13" i="4"/>
  <c r="AG23" i="4"/>
  <c r="AD53" i="4"/>
  <c r="R53" i="4"/>
  <c r="X53" i="4"/>
  <c r="AJ43" i="4"/>
  <c r="X43" i="4"/>
  <c r="L43" i="4"/>
  <c r="R43" i="4"/>
  <c r="AD33" i="4"/>
  <c r="R33" i="4"/>
  <c r="L53" i="4"/>
  <c r="AD43" i="4"/>
  <c r="X33" i="4"/>
  <c r="AJ23" i="4"/>
  <c r="X23" i="4"/>
  <c r="L23" i="4"/>
  <c r="AJ13" i="4"/>
  <c r="X13" i="4"/>
  <c r="L13" i="4"/>
  <c r="AJ53" i="4"/>
  <c r="AJ33" i="4"/>
  <c r="AD23" i="4"/>
  <c r="R23" i="4"/>
  <c r="AD13" i="4"/>
  <c r="R13" i="4"/>
  <c r="L33" i="4"/>
  <c r="AC53" i="4"/>
  <c r="Q53" i="4"/>
  <c r="AI53" i="4"/>
  <c r="K53" i="4"/>
  <c r="AC43" i="4"/>
  <c r="Q43" i="4"/>
  <c r="W53" i="4"/>
  <c r="AI43" i="4"/>
  <c r="W43" i="4"/>
  <c r="K43" i="4"/>
  <c r="AI33" i="4"/>
  <c r="W33" i="4"/>
  <c r="K33" i="4"/>
  <c r="AC33" i="4"/>
  <c r="Q33" i="4"/>
  <c r="AI23" i="4"/>
  <c r="W23" i="4"/>
  <c r="K23" i="4"/>
  <c r="AI13" i="4"/>
  <c r="W13" i="4"/>
  <c r="K13" i="4"/>
  <c r="AC23" i="4"/>
  <c r="Q13" i="4"/>
  <c r="Q23" i="4"/>
  <c r="AC13" i="4"/>
  <c r="AL55" i="4"/>
  <c r="Z55" i="4"/>
  <c r="N55" i="4"/>
  <c r="AL45" i="4"/>
  <c r="Z45" i="4"/>
  <c r="N45" i="4"/>
  <c r="T55" i="4"/>
  <c r="AF45" i="4"/>
  <c r="AF55" i="4"/>
  <c r="AL35" i="4"/>
  <c r="Z35" i="4"/>
  <c r="N35" i="4"/>
  <c r="AF25" i="4"/>
  <c r="T25" i="4"/>
  <c r="AF15" i="4"/>
  <c r="T15" i="4"/>
  <c r="T45" i="4"/>
  <c r="T35" i="4"/>
  <c r="AL25" i="4"/>
  <c r="Z25" i="4"/>
  <c r="N25" i="4"/>
  <c r="AL15" i="4"/>
  <c r="Z15" i="4"/>
  <c r="N15" i="4"/>
  <c r="AF35" i="4"/>
  <c r="AL53" i="4"/>
  <c r="Z53" i="4"/>
  <c r="N53" i="4"/>
  <c r="AF53" i="4"/>
  <c r="AF43" i="4"/>
  <c r="T43" i="4"/>
  <c r="AL43" i="4"/>
  <c r="T53" i="4"/>
  <c r="AL33" i="4"/>
  <c r="Z33" i="4"/>
  <c r="N33" i="4"/>
  <c r="N43" i="4"/>
  <c r="Z43" i="4"/>
  <c r="AF23" i="4"/>
  <c r="T23" i="4"/>
  <c r="AF13" i="4"/>
  <c r="T13" i="4"/>
  <c r="T33" i="4"/>
  <c r="AF33" i="4"/>
  <c r="AL23" i="4"/>
  <c r="Z23" i="4"/>
  <c r="N23" i="4"/>
  <c r="AL13" i="4"/>
  <c r="Z13" i="4"/>
  <c r="N13" i="4"/>
  <c r="AK47" i="4"/>
  <c r="Y47" i="4"/>
  <c r="M47" i="4"/>
  <c r="AE47" i="4"/>
  <c r="S47" i="4"/>
  <c r="AE37" i="4"/>
  <c r="S37" i="4"/>
  <c r="AK37" i="4"/>
  <c r="Y37" i="4"/>
  <c r="M37" i="4"/>
  <c r="AE27" i="4"/>
  <c r="S27" i="4"/>
  <c r="AE17" i="4"/>
  <c r="S17" i="4"/>
  <c r="AK27" i="4"/>
  <c r="AK7" i="4"/>
  <c r="Y7" i="4"/>
  <c r="M7" i="4"/>
  <c r="M17" i="4"/>
  <c r="M27" i="4"/>
  <c r="Y17" i="4"/>
  <c r="AE7" i="4"/>
  <c r="S7" i="4"/>
  <c r="Y27" i="4"/>
  <c r="AK17" i="4"/>
  <c r="AC55" i="4"/>
  <c r="Q55" i="4"/>
  <c r="AC45" i="4"/>
  <c r="Q45" i="4"/>
  <c r="W55" i="4"/>
  <c r="AI45" i="4"/>
  <c r="K45" i="4"/>
  <c r="AI55" i="4"/>
  <c r="K55" i="4"/>
  <c r="W45" i="4"/>
  <c r="AI35" i="4"/>
  <c r="W35" i="4"/>
  <c r="K35" i="4"/>
  <c r="AC35" i="4"/>
  <c r="Q35" i="4"/>
  <c r="AI25" i="4"/>
  <c r="W25" i="4"/>
  <c r="K25" i="4"/>
  <c r="AI15" i="4"/>
  <c r="W15" i="4"/>
  <c r="K15" i="4"/>
  <c r="Q25" i="4"/>
  <c r="AC15" i="4"/>
  <c r="AC25" i="4"/>
  <c r="Q15" i="4"/>
  <c r="AK51" i="4"/>
  <c r="Y51" i="4"/>
  <c r="M51" i="4"/>
  <c r="AE51" i="4"/>
  <c r="AK41" i="4"/>
  <c r="Y41" i="4"/>
  <c r="M41" i="4"/>
  <c r="S51" i="4"/>
  <c r="AE41" i="4"/>
  <c r="S41" i="4"/>
  <c r="AE31" i="4"/>
  <c r="S31" i="4"/>
  <c r="AK31" i="4"/>
  <c r="Y31" i="4"/>
  <c r="M31" i="4"/>
  <c r="AE21" i="4"/>
  <c r="S21" i="4"/>
  <c r="AE11" i="4"/>
  <c r="S11" i="4"/>
  <c r="Y21" i="4"/>
  <c r="AK11" i="4"/>
  <c r="Y11" i="4"/>
  <c r="AK21" i="4"/>
  <c r="M11" i="4"/>
  <c r="M21" i="4"/>
  <c r="AG55" i="4"/>
  <c r="U55" i="4"/>
  <c r="AG45" i="4"/>
  <c r="U45" i="4"/>
  <c r="AM55" i="4"/>
  <c r="O55" i="4"/>
  <c r="AA45" i="4"/>
  <c r="AA55" i="4"/>
  <c r="AM45" i="4"/>
  <c r="O45" i="4"/>
  <c r="AM35" i="4"/>
  <c r="AA35" i="4"/>
  <c r="O35" i="4"/>
  <c r="AG35" i="4"/>
  <c r="U35" i="4"/>
  <c r="AM25" i="4"/>
  <c r="AA25" i="4"/>
  <c r="O25" i="4"/>
  <c r="AM15" i="4"/>
  <c r="AA15" i="4"/>
  <c r="O15" i="4"/>
  <c r="AG25" i="4"/>
  <c r="U15" i="4"/>
  <c r="U25" i="4"/>
  <c r="AG15" i="4"/>
  <c r="AG51" i="4"/>
  <c r="U51" i="4"/>
  <c r="AM51" i="4"/>
  <c r="O51" i="4"/>
  <c r="AG41" i="4"/>
  <c r="U41" i="4"/>
  <c r="AA51" i="4"/>
  <c r="AM41" i="4"/>
  <c r="AA41" i="4"/>
  <c r="O41" i="4"/>
  <c r="AM31" i="4"/>
  <c r="AA31" i="4"/>
  <c r="O31" i="4"/>
  <c r="AG31" i="4"/>
  <c r="U31" i="4"/>
  <c r="AM21" i="4"/>
  <c r="AA21" i="4"/>
  <c r="O21" i="4"/>
  <c r="AM11" i="4"/>
  <c r="AA11" i="4"/>
  <c r="O11" i="4"/>
  <c r="U21" i="4"/>
  <c r="AG11" i="4"/>
  <c r="AG21" i="4"/>
  <c r="U11" i="4"/>
  <c r="AK55" i="4"/>
  <c r="Y55" i="4"/>
  <c r="M55" i="4"/>
  <c r="AK45" i="4"/>
  <c r="Y45" i="4"/>
  <c r="M45" i="4"/>
  <c r="AE55" i="4"/>
  <c r="S45" i="4"/>
  <c r="S55" i="4"/>
  <c r="AE45" i="4"/>
  <c r="AE35" i="4"/>
  <c r="S35" i="4"/>
  <c r="AK35" i="4"/>
  <c r="Y35" i="4"/>
  <c r="M35" i="4"/>
  <c r="AE25" i="4"/>
  <c r="S25" i="4"/>
  <c r="AE15" i="4"/>
  <c r="S15" i="4"/>
  <c r="M15" i="4"/>
  <c r="M25" i="4"/>
  <c r="Y15" i="4"/>
  <c r="Y25" i="4"/>
  <c r="AK15" i="4"/>
  <c r="AK25" i="4"/>
  <c r="AC7" i="4" l="1"/>
  <c r="W27" i="4"/>
  <c r="Q27" i="4"/>
  <c r="W17" i="4"/>
  <c r="Q37" i="4"/>
  <c r="AI47" i="4"/>
  <c r="AC27" i="4"/>
  <c r="K17" i="4"/>
  <c r="AI27" i="4"/>
  <c r="AI37" i="4"/>
  <c r="W7" i="4"/>
  <c r="Q7" i="4"/>
  <c r="AI17" i="4"/>
  <c r="K37" i="4"/>
  <c r="W47" i="4"/>
  <c r="K7" i="4"/>
  <c r="AC17" i="4"/>
  <c r="Q17" i="4"/>
  <c r="K27" i="4"/>
  <c r="AC37" i="4"/>
  <c r="K47" i="4"/>
  <c r="R27" i="4"/>
  <c r="AD10" i="4" l="1"/>
  <c r="AD51" i="4"/>
  <c r="R41" i="4"/>
  <c r="AJ11" i="4"/>
  <c r="R11" i="4"/>
  <c r="R51" i="4"/>
  <c r="X41" i="4"/>
  <c r="AD41" i="4"/>
  <c r="AJ21" i="4"/>
  <c r="X11" i="4"/>
  <c r="R21" i="4"/>
  <c r="X21" i="4"/>
  <c r="AJ51" i="4"/>
  <c r="L41" i="4"/>
  <c r="AD31" i="4"/>
  <c r="L11" i="4"/>
  <c r="AD11" i="4"/>
  <c r="L51" i="4"/>
  <c r="X51" i="4"/>
  <c r="R31" i="4"/>
  <c r="L21" i="4"/>
  <c r="L31" i="4"/>
  <c r="X31" i="4"/>
  <c r="AJ41" i="4"/>
  <c r="AJ31" i="4"/>
  <c r="AD21" i="4"/>
  <c r="AC51" i="4"/>
  <c r="K31" i="4"/>
  <c r="K11" i="4"/>
  <c r="Q51" i="4"/>
  <c r="AI51" i="4"/>
  <c r="K41" i="4"/>
  <c r="AC31" i="4"/>
  <c r="K21" i="4"/>
  <c r="Q11" i="4"/>
  <c r="W51" i="4"/>
  <c r="AI31" i="4"/>
  <c r="AI11" i="4"/>
  <c r="K51" i="4"/>
  <c r="Q31" i="4"/>
  <c r="Q21" i="4"/>
  <c r="AC41" i="4"/>
  <c r="AI41" i="4"/>
  <c r="W31" i="4"/>
  <c r="AI21" i="4"/>
  <c r="W11" i="4"/>
  <c r="AC11" i="4"/>
  <c r="Q41" i="4"/>
  <c r="W41" i="4"/>
  <c r="W21" i="4"/>
  <c r="AC21" i="4"/>
  <c r="R50" i="4"/>
  <c r="X30" i="4"/>
  <c r="AJ30" i="4"/>
  <c r="L20" i="4"/>
  <c r="AJ40" i="4"/>
  <c r="L30" i="4"/>
  <c r="X40" i="4"/>
  <c r="AD30" i="4"/>
  <c r="L40" i="4"/>
  <c r="R20" i="4"/>
  <c r="R40" i="4"/>
  <c r="AC50" i="4"/>
  <c r="AC10" i="4"/>
  <c r="Q20" i="4"/>
  <c r="K10" i="4"/>
  <c r="K50" i="4"/>
  <c r="AC20" i="4"/>
  <c r="Q10" i="4"/>
  <c r="Q50" i="4"/>
  <c r="Q40" i="4"/>
  <c r="Q30" i="4"/>
  <c r="K20" i="4"/>
  <c r="AC40" i="4"/>
  <c r="AC30" i="4"/>
  <c r="AI10" i="4"/>
  <c r="W40" i="4"/>
  <c r="AI30" i="4"/>
  <c r="AI20" i="4"/>
  <c r="AI40" i="4"/>
  <c r="K30" i="4"/>
  <c r="W10" i="4"/>
  <c r="W50" i="4"/>
  <c r="K40" i="4"/>
  <c r="W20" i="4"/>
  <c r="AI50" i="4"/>
  <c r="W30" i="4"/>
  <c r="Q38" i="4"/>
  <c r="R18" i="4"/>
  <c r="X47" i="4"/>
  <c r="L37" i="4"/>
  <c r="L17" i="4"/>
  <c r="X37" i="4"/>
  <c r="AD17" i="4"/>
  <c r="R17" i="4"/>
  <c r="AD27" i="4"/>
  <c r="R47" i="4"/>
  <c r="L47" i="4"/>
  <c r="AD47" i="4"/>
  <c r="AJ47" i="4"/>
  <c r="X27" i="4"/>
  <c r="AD37" i="4"/>
  <c r="X7" i="4"/>
  <c r="AJ27" i="4"/>
  <c r="AJ37" i="4"/>
  <c r="R37" i="4"/>
  <c r="L7" i="4"/>
  <c r="AJ7" i="4"/>
  <c r="AD7" i="4"/>
  <c r="L27" i="4"/>
  <c r="R7" i="4"/>
  <c r="X17" i="4"/>
  <c r="AJ17" i="4"/>
  <c r="R39" i="4"/>
  <c r="X49" i="4"/>
  <c r="AD39" i="4"/>
  <c r="M46" i="4"/>
  <c r="AK36" i="4"/>
  <c r="S26" i="4"/>
  <c r="AE16" i="4"/>
  <c r="M26" i="4"/>
  <c r="AK6" i="4"/>
  <c r="M6" i="4"/>
  <c r="Y6" i="4"/>
  <c r="AK16" i="4"/>
  <c r="M16" i="4"/>
  <c r="Y36" i="4"/>
  <c r="AE6" i="4"/>
  <c r="S46" i="4"/>
  <c r="Y46" i="4"/>
  <c r="Y26" i="4"/>
  <c r="AK26" i="4"/>
  <c r="AE26" i="4"/>
  <c r="AE46" i="4"/>
  <c r="M36" i="4"/>
  <c r="Y16" i="4"/>
  <c r="S36" i="4"/>
  <c r="AK46" i="4"/>
  <c r="S16" i="4"/>
  <c r="AE36" i="4"/>
  <c r="S6" i="4"/>
  <c r="L10" i="4" l="1"/>
  <c r="AJ10" i="4"/>
  <c r="AJ20" i="4"/>
  <c r="X20" i="4"/>
  <c r="AJ50" i="4"/>
  <c r="AD50" i="4"/>
  <c r="AD20" i="4"/>
  <c r="L50" i="4"/>
  <c r="R30" i="4"/>
  <c r="X10" i="4"/>
  <c r="R10" i="4"/>
  <c r="X50" i="4"/>
  <c r="AD40" i="4"/>
  <c r="AJ48" i="4"/>
  <c r="AJ28" i="4"/>
  <c r="X48" i="4"/>
  <c r="AJ18" i="4"/>
  <c r="AD18" i="4"/>
  <c r="L28" i="4"/>
  <c r="L18" i="4"/>
  <c r="R28" i="4"/>
  <c r="AD48" i="4"/>
  <c r="AD28" i="4"/>
  <c r="R38" i="4"/>
  <c r="L8" i="4"/>
  <c r="X8" i="4"/>
  <c r="L38" i="4"/>
  <c r="X38" i="4"/>
  <c r="AD38" i="4"/>
  <c r="X18" i="4"/>
  <c r="AD8" i="4"/>
  <c r="R48" i="4"/>
  <c r="X28" i="4"/>
  <c r="AJ8" i="4"/>
  <c r="R8" i="4"/>
  <c r="AJ38" i="4"/>
  <c r="L48" i="4"/>
  <c r="AC28" i="4"/>
  <c r="W8" i="4"/>
  <c r="AI8" i="4"/>
  <c r="Q48" i="4"/>
  <c r="AI38" i="4"/>
  <c r="K8" i="4"/>
  <c r="K48" i="4"/>
  <c r="K38" i="4"/>
  <c r="AC18" i="4"/>
  <c r="W48" i="4"/>
  <c r="AI28" i="4"/>
  <c r="AC48" i="4"/>
  <c r="K28" i="4"/>
  <c r="K18" i="4"/>
  <c r="AC8" i="4"/>
  <c r="Q28" i="4"/>
  <c r="Q18" i="4"/>
  <c r="AI48" i="4"/>
  <c r="W38" i="4"/>
  <c r="Q8" i="4"/>
  <c r="AC38" i="4"/>
  <c r="W18" i="4"/>
  <c r="AI18" i="4"/>
  <c r="W28" i="4"/>
  <c r="AD29" i="4"/>
  <c r="AD49" i="4"/>
  <c r="AJ19" i="4"/>
  <c r="AJ39" i="4"/>
  <c r="X29" i="4"/>
  <c r="L49" i="4"/>
  <c r="AJ9" i="4"/>
  <c r="AD9" i="4"/>
  <c r="L29" i="4"/>
  <c r="X39" i="4"/>
  <c r="R19" i="4"/>
  <c r="L9" i="4"/>
  <c r="X9" i="4"/>
  <c r="X19" i="4"/>
  <c r="R49" i="4"/>
  <c r="AJ49" i="4"/>
  <c r="AD19" i="4"/>
  <c r="R9" i="4"/>
  <c r="AJ29" i="4"/>
  <c r="L19" i="4"/>
  <c r="L39" i="4"/>
  <c r="R29" i="4"/>
  <c r="Z36" i="4"/>
  <c r="AL26" i="4"/>
  <c r="AL46" i="4"/>
  <c r="N16" i="4"/>
  <c r="N36" i="4"/>
  <c r="T46" i="4"/>
  <c r="N26" i="4"/>
  <c r="T6" i="4"/>
  <c r="AF6" i="4"/>
  <c r="Z46" i="4"/>
  <c r="T26" i="4"/>
  <c r="AL6" i="4"/>
  <c r="AL36" i="4"/>
  <c r="Z26" i="4"/>
  <c r="Z16" i="4"/>
  <c r="T16" i="4"/>
  <c r="T36" i="4"/>
  <c r="N46" i="4"/>
  <c r="N6" i="4"/>
  <c r="Z6" i="4"/>
  <c r="AF36" i="4"/>
  <c r="AF26" i="4"/>
  <c r="AF46" i="4"/>
  <c r="AL16" i="4"/>
  <c r="AF16" i="4"/>
  <c r="T49" i="4" l="1"/>
  <c r="N29" i="4" l="1"/>
  <c r="AF49" i="4"/>
  <c r="Z9" i="4"/>
  <c r="N19" i="4"/>
  <c r="Z39" i="4"/>
  <c r="AL39" i="4"/>
  <c r="AF29" i="4"/>
  <c r="Z29" i="4"/>
  <c r="AL9" i="4"/>
  <c r="T9" i="4"/>
  <c r="AF39" i="4"/>
  <c r="N49" i="4"/>
  <c r="AF19" i="4"/>
  <c r="AL49" i="4"/>
  <c r="T29" i="4"/>
  <c r="AL29" i="4"/>
  <c r="AL19" i="4"/>
  <c r="Z49" i="4"/>
  <c r="N9" i="4"/>
  <c r="T39" i="4"/>
  <c r="N39" i="4"/>
  <c r="T19" i="4"/>
  <c r="Z19" i="4"/>
  <c r="AF9" i="4"/>
  <c r="U49" i="4"/>
  <c r="AM49" i="4"/>
  <c r="O39" i="4"/>
  <c r="AM19" i="4"/>
  <c r="AG9" i="4"/>
  <c r="AG29" i="4"/>
  <c r="AA29" i="4"/>
  <c r="U39" i="4"/>
  <c r="O29" i="4"/>
  <c r="AA49" i="4"/>
  <c r="O49" i="4"/>
  <c r="AM29" i="4"/>
  <c r="AA19" i="4"/>
  <c r="U9" i="4"/>
  <c r="AM9" i="4"/>
  <c r="AG39" i="4"/>
  <c r="O19" i="4"/>
  <c r="AA9" i="4"/>
  <c r="AG49" i="4"/>
  <c r="AG19" i="4"/>
  <c r="AM39" i="4"/>
  <c r="U29" i="4"/>
  <c r="AA39" i="4"/>
  <c r="U19" i="4"/>
  <c r="O9" i="4"/>
  <c r="K36" i="2" l="1"/>
  <c r="L36" i="2" s="1"/>
  <c r="K44" i="2"/>
  <c r="L44" i="2" s="1"/>
  <c r="K26" i="2"/>
  <c r="L26" i="2" s="1"/>
  <c r="K31" i="2"/>
  <c r="L31" i="2" s="1"/>
  <c r="K16" i="2"/>
  <c r="K21" i="2"/>
  <c r="L21" i="2" s="1"/>
  <c r="M21" i="2" l="1"/>
  <c r="N21" i="2"/>
  <c r="M31" i="2"/>
  <c r="AB31" i="2" s="1"/>
  <c r="N31" i="2"/>
  <c r="M26" i="2"/>
  <c r="N26" i="2"/>
  <c r="N44" i="2"/>
  <c r="M44" i="2"/>
  <c r="AB44" i="2" s="1"/>
  <c r="AA44" i="2" s="1"/>
  <c r="N36" i="2"/>
  <c r="M36" i="2"/>
  <c r="AB36" i="2" s="1"/>
  <c r="AA36" i="2" s="1"/>
  <c r="AB21" i="2"/>
  <c r="N6" i="3"/>
  <c r="L16" i="2"/>
  <c r="N16" i="2" s="1"/>
  <c r="N24" i="3"/>
  <c r="N16" i="3"/>
  <c r="N32" i="3"/>
  <c r="AL16" i="3"/>
  <c r="Z32" i="3"/>
  <c r="AF32" i="3"/>
  <c r="Z24" i="3"/>
  <c r="N8" i="3"/>
  <c r="AF16" i="3"/>
  <c r="N40" i="3"/>
  <c r="AL8" i="3"/>
  <c r="AL40" i="3"/>
  <c r="AF40" i="3"/>
  <c r="T32" i="3"/>
  <c r="T40" i="3"/>
  <c r="T16" i="3"/>
  <c r="Z8" i="3"/>
  <c r="AF24" i="3"/>
  <c r="AL32" i="3"/>
  <c r="Z16" i="3"/>
  <c r="T24" i="3"/>
  <c r="T8" i="3"/>
  <c r="AL24" i="3"/>
  <c r="AF8" i="3"/>
  <c r="Z40" i="3"/>
  <c r="P40" i="3"/>
  <c r="P16" i="3"/>
  <c r="P8" i="3"/>
  <c r="V40" i="3"/>
  <c r="V32" i="3"/>
  <c r="AB8" i="3"/>
  <c r="V16" i="3"/>
  <c r="J8" i="3"/>
  <c r="AB40" i="3"/>
  <c r="V24" i="3"/>
  <c r="P32" i="3"/>
  <c r="AB16" i="3"/>
  <c r="J40" i="3"/>
  <c r="J16" i="3"/>
  <c r="AH32" i="3"/>
  <c r="AH24" i="3"/>
  <c r="AH8" i="3"/>
  <c r="V8" i="3"/>
  <c r="J32" i="3"/>
  <c r="J24" i="3"/>
  <c r="AB32" i="3"/>
  <c r="AH16" i="3"/>
  <c r="P24" i="3"/>
  <c r="AH40" i="3"/>
  <c r="AB24" i="3"/>
  <c r="X38" i="3"/>
  <c r="R6" i="3"/>
  <c r="L6" i="3"/>
  <c r="L14" i="3"/>
  <c r="L30" i="3"/>
  <c r="R30" i="3"/>
  <c r="AD14" i="3"/>
  <c r="L38" i="3"/>
  <c r="AJ22" i="3"/>
  <c r="R14" i="3"/>
  <c r="X30" i="3"/>
  <c r="AD38" i="3"/>
  <c r="X14" i="3"/>
  <c r="R38" i="3"/>
  <c r="AJ14" i="3"/>
  <c r="AD30" i="3"/>
  <c r="L22" i="3"/>
  <c r="AJ30" i="3"/>
  <c r="AD22" i="3"/>
  <c r="R22" i="3"/>
  <c r="X6" i="3"/>
  <c r="AJ6" i="3"/>
  <c r="AD6" i="3"/>
  <c r="X22" i="3"/>
  <c r="AJ38" i="3"/>
  <c r="AC44" i="2" l="1"/>
  <c r="AD44" i="2" s="1"/>
  <c r="AB51" i="4"/>
  <c r="V51" i="4"/>
  <c r="AB31" i="4"/>
  <c r="V31" i="4"/>
  <c r="J21" i="4"/>
  <c r="V21" i="4"/>
  <c r="AB41" i="4"/>
  <c r="AB11" i="4"/>
  <c r="AH41" i="4"/>
  <c r="AH21" i="4"/>
  <c r="J51" i="4"/>
  <c r="AH11" i="4"/>
  <c r="AB21" i="4"/>
  <c r="P11" i="4"/>
  <c r="AH51" i="4"/>
  <c r="J41" i="4"/>
  <c r="AH31" i="4"/>
  <c r="P31" i="4"/>
  <c r="P21" i="4"/>
  <c r="P41" i="4"/>
  <c r="V41" i="4"/>
  <c r="V11" i="4"/>
  <c r="P51" i="4"/>
  <c r="J31" i="4"/>
  <c r="J11" i="4"/>
  <c r="AC36" i="2"/>
  <c r="AD36" i="2" s="1"/>
  <c r="V30" i="4"/>
  <c r="J20" i="4"/>
  <c r="V40" i="4"/>
  <c r="AB30" i="4"/>
  <c r="V10" i="4"/>
  <c r="AH40" i="4"/>
  <c r="AB50" i="4"/>
  <c r="P20" i="4"/>
  <c r="AB40" i="4"/>
  <c r="V50" i="4"/>
  <c r="P30" i="4"/>
  <c r="J40" i="4"/>
  <c r="AH10" i="4"/>
  <c r="J50" i="4"/>
  <c r="P50" i="4"/>
  <c r="J10" i="4"/>
  <c r="AB20" i="4"/>
  <c r="AH50" i="4"/>
  <c r="J30" i="4"/>
  <c r="AH30" i="4"/>
  <c r="AB10" i="4"/>
  <c r="AH20" i="4"/>
  <c r="V20" i="4"/>
  <c r="P10" i="4"/>
  <c r="P40" i="4"/>
  <c r="AA31" i="2"/>
  <c r="AB32" i="2"/>
  <c r="AB22" i="2"/>
  <c r="AA22" i="2" s="1"/>
  <c r="AA21" i="2"/>
  <c r="J38" i="3"/>
  <c r="V6" i="3"/>
  <c r="AH14" i="3"/>
  <c r="AB38" i="3"/>
  <c r="AH22" i="3"/>
  <c r="AH30" i="3"/>
  <c r="P30" i="3"/>
  <c r="J30" i="3"/>
  <c r="AB22" i="3"/>
  <c r="AL30" i="3"/>
  <c r="AL22" i="3"/>
  <c r="T30" i="3"/>
  <c r="AF30" i="3"/>
  <c r="AF22" i="3"/>
  <c r="Z14" i="3"/>
  <c r="N14" i="3"/>
  <c r="AF6" i="3"/>
  <c r="AL38" i="3"/>
  <c r="T14" i="3"/>
  <c r="T6" i="3"/>
  <c r="Z38" i="3"/>
  <c r="T38" i="3"/>
  <c r="Z22" i="3"/>
  <c r="AL6" i="3"/>
  <c r="AF38" i="3"/>
  <c r="N30" i="3"/>
  <c r="AL14" i="3"/>
  <c r="N22" i="3"/>
  <c r="Z6" i="3"/>
  <c r="AF14" i="3"/>
  <c r="T22" i="3"/>
  <c r="N38" i="3"/>
  <c r="L24" i="3"/>
  <c r="AJ32" i="3"/>
  <c r="Z30" i="3"/>
  <c r="AB26" i="2"/>
  <c r="AA26" i="2" s="1"/>
  <c r="X24" i="3"/>
  <c r="X8" i="3"/>
  <c r="R32" i="3"/>
  <c r="L8" i="3"/>
  <c r="AJ40" i="3"/>
  <c r="AD32" i="3"/>
  <c r="AJ8" i="3"/>
  <c r="L16" i="3"/>
  <c r="L32" i="3"/>
  <c r="X16" i="3"/>
  <c r="AD24" i="3"/>
  <c r="M16" i="2"/>
  <c r="AJ24" i="3"/>
  <c r="AD16" i="3"/>
  <c r="R24" i="3"/>
  <c r="AD8" i="3"/>
  <c r="R8" i="3"/>
  <c r="R40" i="3"/>
  <c r="R16" i="3"/>
  <c r="AJ16" i="3"/>
  <c r="X32" i="3"/>
  <c r="X40" i="3"/>
  <c r="AD40" i="3"/>
  <c r="L40" i="3"/>
  <c r="J22" i="3"/>
  <c r="P22" i="3"/>
  <c r="AB14" i="3"/>
  <c r="AH6" i="3"/>
  <c r="V38" i="3"/>
  <c r="AB6" i="3"/>
  <c r="V14" i="3"/>
  <c r="V30" i="3"/>
  <c r="AH38" i="3"/>
  <c r="P38" i="3"/>
  <c r="V22" i="3"/>
  <c r="AB30" i="3"/>
  <c r="P6" i="3"/>
  <c r="J14" i="3"/>
  <c r="P14" i="3"/>
  <c r="J6" i="3"/>
  <c r="AA32" i="2" l="1"/>
  <c r="AB33" i="2"/>
  <c r="AA33" i="2" s="1"/>
  <c r="AC31" i="2"/>
  <c r="P49" i="4"/>
  <c r="AH49" i="4"/>
  <c r="V19" i="4"/>
  <c r="V39" i="4"/>
  <c r="J19" i="4"/>
  <c r="V9" i="4"/>
  <c r="AB39" i="4"/>
  <c r="V29" i="4"/>
  <c r="P19" i="4"/>
  <c r="AH9" i="4"/>
  <c r="AH19" i="4"/>
  <c r="J39" i="4"/>
  <c r="AB19" i="4"/>
  <c r="AH29" i="4"/>
  <c r="AH39" i="4"/>
  <c r="V49" i="4"/>
  <c r="J9" i="4"/>
  <c r="AB49" i="4"/>
  <c r="AB9" i="4"/>
  <c r="P9" i="4"/>
  <c r="P39" i="4"/>
  <c r="AB29" i="4"/>
  <c r="J29" i="4"/>
  <c r="P29" i="4"/>
  <c r="J49" i="4"/>
  <c r="AB16" i="2"/>
  <c r="AB17" i="2" s="1"/>
  <c r="AC21" i="2"/>
  <c r="J47" i="4"/>
  <c r="AH27" i="4"/>
  <c r="J27" i="4"/>
  <c r="AB37" i="4"/>
  <c r="AB27" i="4"/>
  <c r="AB17" i="4"/>
  <c r="V47" i="4"/>
  <c r="V37" i="4"/>
  <c r="P27" i="4"/>
  <c r="P47" i="4"/>
  <c r="AH37" i="4"/>
  <c r="V27" i="4"/>
  <c r="AH7" i="4"/>
  <c r="AH17" i="4"/>
  <c r="AB47" i="4"/>
  <c r="P17" i="4"/>
  <c r="J17" i="4"/>
  <c r="J37" i="4"/>
  <c r="V17" i="4"/>
  <c r="J7" i="4"/>
  <c r="P37" i="4"/>
  <c r="P7" i="4"/>
  <c r="AH47" i="4"/>
  <c r="AB7" i="4"/>
  <c r="V7" i="4"/>
  <c r="AC26" i="2"/>
  <c r="AD26" i="2" s="1"/>
  <c r="J18" i="4"/>
  <c r="V48" i="4"/>
  <c r="J8" i="4"/>
  <c r="P18" i="4"/>
  <c r="V18" i="4"/>
  <c r="V28" i="4"/>
  <c r="P48" i="4"/>
  <c r="AH18" i="4"/>
  <c r="AB8" i="4"/>
  <c r="AB18" i="4"/>
  <c r="V8" i="4"/>
  <c r="AH38" i="4"/>
  <c r="P8" i="4"/>
  <c r="AB38" i="4"/>
  <c r="J38" i="4"/>
  <c r="AH28" i="4"/>
  <c r="AB28" i="4"/>
  <c r="AB48" i="4"/>
  <c r="AH8" i="4"/>
  <c r="J48" i="4"/>
  <c r="V38" i="4"/>
  <c r="P38" i="4"/>
  <c r="J28" i="4"/>
  <c r="AH48" i="4"/>
  <c r="P28" i="4"/>
  <c r="AC22" i="2"/>
  <c r="T27" i="4"/>
  <c r="AF7" i="4"/>
  <c r="T37" i="4"/>
  <c r="Z27" i="4"/>
  <c r="N7" i="4"/>
  <c r="Z7" i="4"/>
  <c r="AF37" i="4"/>
  <c r="AL27" i="4"/>
  <c r="N37" i="4"/>
  <c r="N17" i="4"/>
  <c r="AF27" i="4"/>
  <c r="Z47" i="4"/>
  <c r="AL17" i="4"/>
  <c r="AL7" i="4"/>
  <c r="Z17" i="4"/>
  <c r="AF47" i="4"/>
  <c r="N27" i="4"/>
  <c r="AL47" i="4"/>
  <c r="T47" i="4"/>
  <c r="Z37" i="4"/>
  <c r="AL37" i="4"/>
  <c r="N47" i="4"/>
  <c r="T17" i="4"/>
  <c r="AF17" i="4"/>
  <c r="T7" i="4"/>
  <c r="AM17" i="4"/>
  <c r="O7" i="4"/>
  <c r="AG7" i="4"/>
  <c r="AG17" i="4"/>
  <c r="AA47" i="4"/>
  <c r="AA7" i="4"/>
  <c r="AA27" i="4"/>
  <c r="AG27" i="4"/>
  <c r="AM7" i="4"/>
  <c r="U27" i="4"/>
  <c r="AG47" i="4"/>
  <c r="U7" i="4"/>
  <c r="O47" i="4"/>
  <c r="U17" i="4"/>
  <c r="AG37" i="4"/>
  <c r="U47" i="4"/>
  <c r="O37" i="4"/>
  <c r="AM47" i="4"/>
  <c r="O27" i="4"/>
  <c r="AA37" i="4"/>
  <c r="AM37" i="4"/>
  <c r="O17" i="4"/>
  <c r="AM27" i="4"/>
  <c r="U37" i="4"/>
  <c r="AA17" i="4"/>
  <c r="AC33" i="2" l="1"/>
  <c r="AK39" i="4"/>
  <c r="M9" i="4"/>
  <c r="M49" i="4"/>
  <c r="Y9" i="4"/>
  <c r="S19" i="4"/>
  <c r="Y19" i="4"/>
  <c r="AE29" i="4"/>
  <c r="M19" i="4"/>
  <c r="Y49" i="4"/>
  <c r="AK19" i="4"/>
  <c r="M39" i="4"/>
  <c r="S49" i="4"/>
  <c r="AK29" i="4"/>
  <c r="AE39" i="4"/>
  <c r="AK49" i="4"/>
  <c r="AE9" i="4"/>
  <c r="AE49" i="4"/>
  <c r="S29" i="4"/>
  <c r="Y29" i="4"/>
  <c r="S9" i="4"/>
  <c r="AE19" i="4"/>
  <c r="S39" i="4"/>
  <c r="Y39" i="4"/>
  <c r="AK9" i="4"/>
  <c r="M29" i="4"/>
  <c r="AC32" i="2"/>
  <c r="AD31" i="2" s="1"/>
  <c r="AI29" i="4"/>
  <c r="W39" i="4"/>
  <c r="K49" i="4"/>
  <c r="Q29" i="4"/>
  <c r="AC9" i="4"/>
  <c r="Q9" i="4"/>
  <c r="W49" i="4"/>
  <c r="K19" i="4"/>
  <c r="W19" i="4"/>
  <c r="Q39" i="4"/>
  <c r="AI39" i="4"/>
  <c r="K9" i="4"/>
  <c r="AC29" i="4"/>
  <c r="AC39" i="4"/>
  <c r="W9" i="4"/>
  <c r="K29" i="4"/>
  <c r="AI49" i="4"/>
  <c r="Q19" i="4"/>
  <c r="AI19" i="4"/>
  <c r="W29" i="4"/>
  <c r="AC49" i="4"/>
  <c r="Q49" i="4"/>
  <c r="AC19" i="4"/>
  <c r="AI9" i="4"/>
  <c r="K39" i="4"/>
  <c r="AA17" i="2"/>
  <c r="AB18" i="2"/>
  <c r="AA18" i="2" s="1"/>
  <c r="AD21" i="2"/>
  <c r="AA16" i="2"/>
  <c r="W16" i="4" l="1"/>
  <c r="K36" i="4"/>
  <c r="W36" i="4"/>
  <c r="W6" i="4"/>
  <c r="Q36" i="4"/>
  <c r="AI46" i="4"/>
  <c r="AC6" i="4"/>
  <c r="AI36" i="4"/>
  <c r="AC36" i="4"/>
  <c r="K6" i="4"/>
  <c r="K16" i="4"/>
  <c r="AI26" i="4"/>
  <c r="Q6" i="4"/>
  <c r="K46" i="4"/>
  <c r="AC46" i="4"/>
  <c r="Q26" i="4"/>
  <c r="AI6" i="4"/>
  <c r="AC26" i="4"/>
  <c r="Q16" i="4"/>
  <c r="W46" i="4"/>
  <c r="W26" i="4"/>
  <c r="AI16" i="4"/>
  <c r="AC16" i="4"/>
  <c r="K26" i="4"/>
  <c r="Q46" i="4"/>
  <c r="L46" i="4"/>
  <c r="X6" i="4"/>
  <c r="X36" i="4"/>
  <c r="AD6" i="4"/>
  <c r="AJ36" i="4"/>
  <c r="R6" i="4"/>
  <c r="AJ26" i="4"/>
  <c r="R36" i="4"/>
  <c r="AD36" i="4"/>
  <c r="X46" i="4"/>
  <c r="L16" i="4"/>
  <c r="R46" i="4"/>
  <c r="AD26" i="4"/>
  <c r="AJ6" i="4"/>
  <c r="AJ16" i="4"/>
  <c r="AD16" i="4"/>
  <c r="R26" i="4"/>
  <c r="X16" i="4"/>
  <c r="AD46" i="4"/>
  <c r="L36" i="4"/>
  <c r="R16" i="4"/>
  <c r="L26" i="4"/>
  <c r="AJ46" i="4"/>
  <c r="L6" i="4"/>
  <c r="X26" i="4"/>
  <c r="V16" i="4"/>
  <c r="J46" i="4"/>
  <c r="J16" i="4"/>
  <c r="AB6" i="4"/>
  <c r="AC16" i="2"/>
  <c r="P46" i="4"/>
  <c r="AH36" i="4"/>
  <c r="V36" i="4"/>
  <c r="AB26" i="4"/>
  <c r="P6" i="4"/>
  <c r="AB46" i="4"/>
  <c r="P36" i="4"/>
  <c r="AH26" i="4"/>
  <c r="V6" i="4"/>
  <c r="J36" i="4"/>
  <c r="V46" i="4"/>
  <c r="J6" i="4"/>
  <c r="J26" i="4"/>
  <c r="P26" i="4"/>
  <c r="AH16" i="4"/>
  <c r="AH46" i="4"/>
  <c r="AB36" i="4"/>
  <c r="V26" i="4"/>
  <c r="AH6" i="4"/>
  <c r="P16" i="4"/>
  <c r="AB16" i="4"/>
  <c r="AD16" i="2" l="1"/>
</calcChain>
</file>

<file path=xl/sharedStrings.xml><?xml version="1.0" encoding="utf-8"?>
<sst xmlns="http://schemas.openxmlformats.org/spreadsheetml/2006/main" count="454" uniqueCount="274">
  <si>
    <t>Matriz Mapa de Riesgos</t>
  </si>
  <si>
    <r>
      <rPr>
        <sz val="10"/>
        <color theme="1"/>
        <rFont val="Arial Narrow"/>
        <family val="2"/>
      </rP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 Alcaldía de Pasto frente a la estructuración de los mapas de riesgos, como herramienta fundamental frente a la gestión del riesgo, el presente formato desarrolla un esquema completo acorde con los contenidos metodológicos de la </t>
    </r>
    <r>
      <rPr>
        <b/>
        <sz val="10"/>
        <color rgb="FFE36C09"/>
        <rFont val="Arial Narrow"/>
        <family val="2"/>
      </rPr>
      <t>Guía para la Administración del Riesgo y el diseño de controles V5</t>
    </r>
    <r>
      <rPr>
        <sz val="10"/>
        <color theme="1"/>
        <rFont val="Arial Narrow"/>
        <family val="2"/>
      </rPr>
      <t>. El formato cuenta con celdas parametrizadas y permite contar con los respectivos mapas de calor para riesgo inherente y riesgo residual.</t>
    </r>
  </si>
  <si>
    <t>Orientaciones Generales</t>
  </si>
  <si>
    <r>
      <rPr>
        <sz val="11"/>
        <color theme="1"/>
        <rFont val="Arial Narrow"/>
        <family val="2"/>
      </rPr>
      <t xml:space="preserve">Antes de iniciar con el diligenciamiento de la información en la matriz, se requiere haber avanzado en el análisis del </t>
    </r>
    <r>
      <rPr>
        <b/>
        <sz val="11"/>
        <color theme="1"/>
        <rFont val="Arial Narrow"/>
        <family val="2"/>
      </rPr>
      <t>proceso, su objetivo, alcance, actividades clave</t>
    </r>
    <r>
      <rPr>
        <sz val="11"/>
        <color theme="1"/>
        <rFont val="Arial Narrow"/>
        <family val="2"/>
      </rPr>
      <t xml:space="preserve">, considere los lineamientos establecidos en el </t>
    </r>
    <r>
      <rPr>
        <b/>
        <sz val="11"/>
        <color rgb="FFE36C09"/>
        <rFont val="Arial Narrow"/>
        <family val="2"/>
      </rPr>
      <t>Paso 2: identificación del riesgo</t>
    </r>
    <r>
      <rPr>
        <sz val="11"/>
        <color theme="1"/>
        <rFont val="Arial Narrow"/>
        <family val="2"/>
      </rPr>
      <t xml:space="preserve">, donde se explica ampliamente las bases para adelanter este análisis.
Así mismo, considere en el </t>
    </r>
    <r>
      <rPr>
        <b/>
        <sz val="11"/>
        <color rgb="FFE36C09"/>
        <rFont val="Arial Narrow"/>
        <family val="2"/>
      </rPr>
      <t>Paso 3: valoración del riesgo</t>
    </r>
    <r>
      <rPr>
        <sz val="11"/>
        <color theme="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rgb="FFE36C09"/>
        <rFont val="Arial Narrow"/>
        <family val="2"/>
      </rPr>
      <t>NOTA:</t>
    </r>
    <r>
      <rPr>
        <sz val="11"/>
        <color theme="1"/>
        <rFont val="Arial Narrow"/>
        <family val="2"/>
      </rPr>
      <t xml:space="preserve"> Si lo considera pertinente, es posible agregar hojas de trabajo adicionales al presente formato que permitan incluir la traza de estos análisis.</t>
    </r>
  </si>
  <si>
    <r>
      <rPr>
        <sz val="10"/>
        <color theme="1"/>
        <rFont val="Arial Narrow"/>
        <family val="2"/>
      </rPr>
      <t xml:space="preserve">El archivo contiene las siguientes hojas:
-   </t>
    </r>
    <r>
      <rPr>
        <b/>
        <sz val="11"/>
        <color theme="1"/>
        <rFont val="Arial Narrow"/>
        <family val="2"/>
      </rPr>
      <t>Hoja 1 Instructivo</t>
    </r>
    <r>
      <rPr>
        <sz val="10"/>
        <color theme="1"/>
        <rFont val="Arial Narrow"/>
        <family val="2"/>
      </rPr>
      <t xml:space="preserve">
 -  </t>
    </r>
    <r>
      <rPr>
        <b/>
        <sz val="11"/>
        <color theme="1"/>
        <rFont val="Arial Narrow"/>
        <family val="2"/>
      </rPr>
      <t xml:space="preserve">Hoja 2 Mapa Final: </t>
    </r>
    <r>
      <rPr>
        <sz val="10"/>
        <color theme="1"/>
        <rFont val="Arial Narrow"/>
        <family val="2"/>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</si>
  <si>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</si>
  <si>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</si>
  <si>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</si>
  <si>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</si>
  <si>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</si>
  <si>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</si>
  <si>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</si>
  <si>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</si>
  <si>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</si>
  <si>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</si>
  <si>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Impacto</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</si>
  <si>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</si>
  <si>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</si>
  <si>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</si>
  <si>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</si>
  <si>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</si>
  <si>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</si>
  <si>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rPr>
        <sz val="9"/>
        <color theme="1"/>
        <rFont val="Arial Narrow"/>
        <family val="2"/>
      </rP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rgb="FFE36C09"/>
        <rFont val="Arial Narrow"/>
        <family val="2"/>
      </rPr>
      <t>POSIBILIDAD DE + Impacto para la entidad (Qué) + Causa Inmediata (Cómo) + Causa Raíz (Por qué)</t>
    </r>
  </si>
  <si>
    <t>Clasificación del Riesgo</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</si>
  <si>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</si>
  <si>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</si>
  <si>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</si>
  <si>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</si>
  <si>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</si>
  <si>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Zona de Riesgo Inherente</t>
  </si>
  <si>
    <t>Teniendo en cuenta que ingresó la información de PROBABILIDAD e IMPACTO, la matriz automáticamente hará el cálculo para la zona de riesgo inherente (Columna N)</t>
  </si>
  <si>
    <t>Descripción del Control</t>
  </si>
  <si>
    <r>
      <rPr>
        <sz val="9"/>
        <color theme="1"/>
        <rFont val="Arial Narrow"/>
        <family val="2"/>
      </rPr>
      <t xml:space="preserve">Recuerde que el control se define como la medida que permite reducir o mitigar un riesgo. Defina el control (es) que atacan la causa raíz del riesgo, considere la estructura explicada en la guía: </t>
    </r>
    <r>
      <rPr>
        <b/>
        <sz val="9"/>
        <color rgb="FFE36C09"/>
        <rFont val="Arial Narrow"/>
        <family val="2"/>
      </rPr>
      <t>Responsable de ejecutar el control + Acción + Complemento</t>
    </r>
  </si>
  <si>
    <t>Afectación</t>
  </si>
  <si>
    <t>Esta casilla no se diligencia, depende de la selección en la columna R.</t>
  </si>
  <si>
    <r>
      <rPr>
        <b/>
        <sz val="9"/>
        <color theme="1"/>
        <rFont val="Arial Narrow"/>
        <family val="2"/>
      </rPr>
      <t xml:space="preserve">ATRIBUTOS EFICIENCIA
</t>
    </r>
    <r>
      <rPr>
        <sz val="9"/>
        <color theme="1"/>
        <rFont val="Arial Narrow"/>
        <family val="2"/>
      </rPr>
      <t>Tipo</t>
    </r>
  </si>
  <si>
    <t>Utilice la lista de despligue que se encuentra parametrizada, le aparecerán las opciones: i)Preventivo, ii)Detectivo, iii)Correctivo.</t>
  </si>
  <si>
    <r>
      <rPr>
        <b/>
        <sz val="9"/>
        <color theme="1"/>
        <rFont val="Arial Narrow"/>
        <family val="2"/>
      </rPr>
      <t xml:space="preserve">ATRIBUTOS EFICIENCIA
</t>
    </r>
    <r>
      <rPr>
        <sz val="9"/>
        <color theme="1"/>
        <rFont val="Arial Narrow"/>
        <family val="2"/>
      </rPr>
      <t>Implementación</t>
    </r>
  </si>
  <si>
    <t>Utilice la lista de despligue que se encuentra parametrizada, le aparecerán las opciones: i)Automático, ii)Manual.</t>
  </si>
  <si>
    <r>
      <rPr>
        <b/>
        <sz val="9"/>
        <color theme="1"/>
        <rFont val="Arial Narrow"/>
        <family val="2"/>
      </rPr>
      <t xml:space="preserve">ATRIBUTOS EFICIENCIA
</t>
    </r>
    <r>
      <rPr>
        <sz val="9"/>
        <color theme="1"/>
        <rFont val="Arial Narrow"/>
        <family val="2"/>
      </rPr>
      <t>Implementación</t>
    </r>
  </si>
  <si>
    <r>
      <rPr>
        <b/>
        <sz val="9"/>
        <color theme="1"/>
        <rFont val="Arial Narrow"/>
        <family val="2"/>
      </rPr>
      <t xml:space="preserve">ATRIBUTOS EFICIENCIA
</t>
    </r>
    <r>
      <rPr>
        <sz val="9"/>
        <color theme="1"/>
        <rFont val="Arial Narrow"/>
        <family val="2"/>
      </rPr>
      <t>Calificación</t>
    </r>
  </si>
  <si>
    <t xml:space="preserve">La matriz automáticamente hará el cálculo para el control analizado (Columna T) </t>
  </si>
  <si>
    <r>
      <rPr>
        <b/>
        <sz val="9"/>
        <color theme="1"/>
        <rFont val="Arial Narrow"/>
        <family val="2"/>
      </rPr>
      <t xml:space="preserve">ATRIBUTOS INFORMATIVOS
</t>
    </r>
    <r>
      <rPr>
        <sz val="9"/>
        <color theme="1"/>
        <rFont val="Arial Narrow"/>
        <family val="2"/>
      </rPr>
      <t>Documentación</t>
    </r>
  </si>
  <si>
    <t>Utilice la lista de despligue que se encuentra parametrizada, le aparecerán las opciones: i)Documentado, ii)Sin documentar.</t>
  </si>
  <si>
    <r>
      <rPr>
        <b/>
        <sz val="9"/>
        <color theme="1"/>
        <rFont val="Arial Narrow"/>
        <family val="2"/>
      </rPr>
      <t xml:space="preserve">ATRIBUTOS INFORMATIVOS
</t>
    </r>
    <r>
      <rPr>
        <sz val="9"/>
        <color theme="1"/>
        <rFont val="Arial Narrow"/>
        <family val="2"/>
      </rPr>
      <t>Frecuencia</t>
    </r>
  </si>
  <si>
    <t>Utilice la lista de despligue que se encuentra parametrizada, le aparecerán las opciones: i)Continua, ii)Aleatoria.</t>
  </si>
  <si>
    <r>
      <rPr>
        <b/>
        <sz val="9"/>
        <color theme="1"/>
        <rFont val="Arial Narrow"/>
        <family val="2"/>
      </rPr>
      <t xml:space="preserve">ATRIBUTOS INFORMATIVOS
</t>
    </r>
    <r>
      <rPr>
        <sz val="9"/>
        <color theme="1"/>
        <rFont val="Arial Narrow"/>
        <family val="2"/>
      </rPr>
      <t>Registro</t>
    </r>
  </si>
  <si>
    <t>Utilice la lista de despligue que se encuentra parametrizada, le aparecerán las opciones: i)Con Registro, ii) Sin Registro.</t>
  </si>
  <si>
    <t>Evaluación del Nivel de Riesgo - Nivel de Riesgo Residual</t>
  </si>
  <si>
    <r>
      <rPr>
        <sz val="9"/>
        <color theme="1"/>
        <rFont val="Arial Narrow"/>
        <family val="2"/>
      </rPr>
      <t>La matriz automáticamente hará el cálculo, acorde con el control o controles definidos con sus atributos analizados, lo que permitirá establecer el</t>
    </r>
    <r>
      <rPr>
        <b/>
        <sz val="9"/>
        <color rgb="FFE36C09"/>
        <rFont val="Arial Narrow"/>
        <family val="2"/>
      </rPr>
      <t xml:space="preserve"> nivel de riesgo inherente</t>
    </r>
    <r>
      <rPr>
        <sz val="9"/>
        <color theme="1"/>
        <rFont val="Arial Narrow"/>
        <family val="2"/>
      </rPr>
      <t xml:space="preserve"> (Columnas Y- Z- AA -AB- AC).</t>
    </r>
  </si>
  <si>
    <t>Tratamiento</t>
  </si>
  <si>
    <t>Utilice la lista de despligue que se encuentra parametrizada, le aparecerán las opciones: i)Aceptar, ii)Evitar, iii)Reducir (compartir), iv)Reducir (mitigar).</t>
  </si>
  <si>
    <r>
      <rPr>
        <b/>
        <sz val="9"/>
        <color theme="1"/>
        <rFont val="Arial Narrow"/>
        <family val="2"/>
      </rPr>
      <t xml:space="preserve">Plan de Acción
</t>
    </r>
    <r>
      <rPr>
        <sz val="9"/>
        <color theme="1"/>
        <rFont val="Arial Narrow"/>
        <family val="2"/>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</si>
  <si>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</si>
  <si>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</si>
  <si>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</si>
  <si>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rPr>
        <sz val="10"/>
        <color theme="1"/>
        <rFont val="Arial Narrow"/>
        <family val="2"/>
      </rPr>
      <t xml:space="preserve"> -</t>
    </r>
    <r>
      <rPr>
        <sz val="11"/>
        <color theme="1"/>
        <rFont val="Arial Narrow"/>
        <family val="2"/>
      </rPr>
      <t xml:space="preserve"> </t>
    </r>
    <r>
      <rPr>
        <b/>
        <sz val="11"/>
        <color theme="1"/>
        <rFont val="Arial Narrow"/>
        <family val="2"/>
      </rPr>
      <t xml:space="preserve"> Hoja 3 Matriz de Calor Inherente: </t>
    </r>
    <r>
      <rPr>
        <sz val="11"/>
        <color theme="1"/>
        <rFont val="Arial Narrow"/>
        <family val="2"/>
      </rPr>
      <t xml:space="preserve"> En esta hoja, en la medida en que ese diligencia el Mapa Final, se verán reflejados los riesgos en su zona correspondiente. Esta hoja no se diligencia se genera de manera automática.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</si>
  <si>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4 Matriz de Calor Residual: </t>
    </r>
    <r>
      <rPr>
        <sz val="11"/>
        <color theme="1"/>
        <rFont val="Arial Narrow"/>
        <family val="2"/>
      </rPr>
      <t>En esta hoja, en la medida en que ese diligencia el Mapa Final, se verán reflejados los riesgos en su zona correspondiente. Esta hoja no se diligencia se genera de manera automática.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</si>
  <si>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5 Tabla de probabilidad: </t>
    </r>
    <r>
      <rPr>
        <sz val="11"/>
        <color theme="1"/>
        <rFont val="Arial Narrow"/>
        <family val="2"/>
      </rPr>
      <t>Tabla referente para todos los cálculos (no se diligencia)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</si>
  <si>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6 Tabla de Impacto: </t>
    </r>
    <r>
      <rPr>
        <sz val="11"/>
        <color theme="1"/>
        <rFont val="Arial Narrow"/>
        <family val="2"/>
      </rPr>
      <t>Tabla referente para todos los cálculos (no se diligencia)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</si>
  <si>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7 Tabla de Valoración de Controles: </t>
    </r>
    <r>
      <rPr>
        <sz val="11"/>
        <color theme="1"/>
        <rFont val="Arial Narrow"/>
        <family val="2"/>
      </rPr>
      <t>Tabla referente para todos los cálculos (no se diligencia)</t>
    </r>
  </si>
  <si>
    <t xml:space="preserve">Formato Mapa Riesgos </t>
  </si>
  <si>
    <t>Objetivo:</t>
  </si>
  <si>
    <t>Alcance:</t>
  </si>
  <si>
    <t>Identificación del riesgo</t>
  </si>
  <si>
    <t>Análisis del riesgo inherente</t>
  </si>
  <si>
    <t>Evaluación del riesgo - Valoración de los controles</t>
  </si>
  <si>
    <t>Evaluación del riesgo - Nivel del riesgo residual</t>
  </si>
  <si>
    <t>Plan de Acción</t>
  </si>
  <si>
    <t xml:space="preserve">Referencia </t>
  </si>
  <si>
    <t>Frecuencia con la cual se realiza la actividad</t>
  </si>
  <si>
    <t>Probabilidad Inherente</t>
  </si>
  <si>
    <t>%</t>
  </si>
  <si>
    <t>Criterios de impacto</t>
  </si>
  <si>
    <t>Observación de criterio</t>
  </si>
  <si>
    <t>Impacto 
Inherente</t>
  </si>
  <si>
    <t>No. Control</t>
  </si>
  <si>
    <t>Atributos</t>
  </si>
  <si>
    <t>Probabilidad Residual</t>
  </si>
  <si>
    <t>Probabilidad Residual Final</t>
  </si>
  <si>
    <t>Impacto Residual Final</t>
  </si>
  <si>
    <t>Zona de Riesgo Final</t>
  </si>
  <si>
    <t>Responsable</t>
  </si>
  <si>
    <t>Fecha Implementación</t>
  </si>
  <si>
    <t>Fecha Seguimiento</t>
  </si>
  <si>
    <t>Seguimiento</t>
  </si>
  <si>
    <t>Tipo</t>
  </si>
  <si>
    <t>Implementación</t>
  </si>
  <si>
    <t>Calificación</t>
  </si>
  <si>
    <t>Documentación</t>
  </si>
  <si>
    <t>Frecuencia</t>
  </si>
  <si>
    <t>Evidencia</t>
  </si>
  <si>
    <t>Fuente:  Adaptado de Curso Riesgo Operativo Universidad del Rosario por Dirección de Gestión y Desempeño Institucional de Función Pública,  2020.</t>
  </si>
  <si>
    <t>Matriz de Calor Inherente</t>
  </si>
  <si>
    <t>Probabilidad</t>
  </si>
  <si>
    <t>Muy Alta
100%</t>
  </si>
  <si>
    <t>Extremo</t>
  </si>
  <si>
    <t>Alta
80%</t>
  </si>
  <si>
    <t>Alto</t>
  </si>
  <si>
    <t>Media
60%</t>
  </si>
  <si>
    <t>Moderado</t>
  </si>
  <si>
    <t>Baja
40%</t>
  </si>
  <si>
    <t>Bajo</t>
  </si>
  <si>
    <t>Muy Baja
20%</t>
  </si>
  <si>
    <t>Leve
20%</t>
  </si>
  <si>
    <t>Menor
40%</t>
  </si>
  <si>
    <t>Moderado
60%</t>
  </si>
  <si>
    <t>Mayor
80%</t>
  </si>
  <si>
    <t>Catastrófico
100%</t>
  </si>
  <si>
    <t xml:space="preserve"> Matriz de Calor Residual</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</si>
  <si>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</si>
  <si>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</si>
  <si>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</si>
  <si>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</si>
  <si>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</si>
  <si>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</si>
  <si>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</si>
  <si>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</si>
  <si>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</si>
  <si>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La actividad que conlleva el riesgo se ejecuta mínimo 500 veces al año y máximo 5000 veces por año</t>
  </si>
  <si>
    <t>Muy Alta</t>
  </si>
  <si>
    <t>La actividad que conlleva el riesgo se ejecuta más de 5000 veces por año</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</si>
  <si>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</si>
  <si>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</si>
  <si>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</si>
  <si>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</si>
  <si>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</si>
  <si>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</si>
  <si>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</si>
  <si>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Menor</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</si>
  <si>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</si>
  <si>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</si>
  <si>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</si>
  <si>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</si>
  <si>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50 y 100 SMLMV </t>
  </si>
  <si>
    <t>El riesgo afecta la imagen de la entidad con algunos usuarios de relevancia frente al logro de los objetivos</t>
  </si>
  <si>
    <t>Mayor</t>
  </si>
  <si>
    <t>Mayor 80%</t>
  </si>
  <si>
    <t xml:space="preserve">Entre 100 y 500 SMLMV </t>
  </si>
  <si>
    <t>El riesgo afecta la imagen de de la entidad con efecto publicitario sostenido a nivel de sector administrativo, nivel departamental o municipal</t>
  </si>
  <si>
    <t>Catastrófico</t>
  </si>
  <si>
    <t>Catastrófico 100%</t>
  </si>
  <si>
    <t xml:space="preserve">Mayor a 500 SMLMV </t>
  </si>
  <si>
    <t>El riesgo afecta la imagen de la entidad a nivel nacional, con efecto publicitarios sostenible a nivel país</t>
  </si>
  <si>
    <t>Afectación_Económica_o_presupuestal</t>
  </si>
  <si>
    <t xml:space="preserve">     Afectación menor a 10 SMLMV .</t>
  </si>
  <si>
    <t xml:space="preserve">     El riesgo afecta la imagen de alguna área de la organización</t>
  </si>
  <si>
    <t>Pérdida_Reputacional</t>
  </si>
  <si>
    <t xml:space="preserve">     Entre 10 y 50 SMLMV </t>
  </si>
  <si>
    <t xml:space="preserve">     El riesgo afecta la imagen de la entidad internamente, de conocimiento general, nivel interno, de junta dircetiva y accionistas y/o de provedores</t>
  </si>
  <si>
    <t xml:space="preserve">     Entre 50 y 100 SMLMV </t>
  </si>
  <si>
    <t xml:space="preserve">     El riesgo afecta la imagen de la entidad con algunos usuarios de relevancia frente al logro de los objetivos</t>
  </si>
  <si>
    <t xml:space="preserve">     Entre 100 y 500 SMLMV </t>
  </si>
  <si>
    <t xml:space="preserve">     El riesgo afecta la imagen de de la entidad con efecto publicitario sostenido a nivel de sector administrativo, nivel departamental o municipal</t>
  </si>
  <si>
    <t xml:space="preserve">     Mayor a 500 SMLMV </t>
  </si>
  <si>
    <t xml:space="preserve">     El riesgo afecta la imagen de la entidad a nivel nacional, con efecto publicitarios sostenible a nivel país</t>
  </si>
  <si>
    <t>Criterios</t>
  </si>
  <si>
    <t>Subcriterios</t>
  </si>
  <si>
    <t>Afectación Económica o presupuestal</t>
  </si>
  <si>
    <t>Afectación menor a 10 SMLMV .</t>
  </si>
  <si>
    <t>❌</t>
  </si>
  <si>
    <t>✔</t>
  </si>
  <si>
    <t>Tabla Atributos de para el diseño del control</t>
  </si>
  <si>
    <t>Características</t>
  </si>
  <si>
    <t>Descripción</t>
  </si>
  <si>
    <t>Peso</t>
  </si>
  <si>
    <t>Atributos de Eficiencia</t>
  </si>
  <si>
    <t>Preventivo</t>
  </si>
  <si>
    <t>Va hacia las causas del riesgo, aseguran el resultado final esperado.</t>
  </si>
  <si>
    <t>Detectivo</t>
  </si>
  <si>
    <t>Detecta que algo ocurre y devuelve el proceso a los controles preventivos.
Se pueden generar reprocesos.</t>
  </si>
  <si>
    <t>Correctivo</t>
  </si>
  <si>
    <t>Dado que permiten reducir el impacto de la materialización del riesgo, tienen un costo en su implementación.</t>
  </si>
  <si>
    <t>Automático</t>
  </si>
  <si>
    <t>Son actividades de procesamiento o validación de información que se ejecutan por un sistema y/o aplicativo de manera automática sin la intervención de personas para su realización.</t>
  </si>
  <si>
    <t>Manual</t>
  </si>
  <si>
    <t>Controles que son ejecutados por una persona., tiene implícito el error humano.</t>
  </si>
  <si>
    <r>
      <rPr>
        <b/>
        <sz val="12"/>
        <color rgb="FFE36C09"/>
        <rFont val="Arial Narrow"/>
        <family val="2"/>
      </rPr>
      <t>*</t>
    </r>
    <r>
      <rPr>
        <b/>
        <sz val="12"/>
        <color rgb="FF000000"/>
        <rFont val="Arial Narrow"/>
        <family val="2"/>
      </rPr>
      <t>Atributos de</t>
    </r>
    <r>
      <rPr>
        <b/>
        <sz val="12"/>
        <color rgb="FFE36C09"/>
        <rFont val="Arial Narrow"/>
        <family val="2"/>
      </rPr>
      <t xml:space="preserve"> </t>
    </r>
    <r>
      <rPr>
        <b/>
        <sz val="12"/>
        <color rgb="FF000000"/>
        <rFont val="Arial Narrow"/>
        <family val="2"/>
      </rPr>
      <t>Formalización</t>
    </r>
  </si>
  <si>
    <t>Documentado</t>
  </si>
  <si>
    <t>Controles que están documentados en el proceso, ya sea en manuales, procedimientos, flujogramas o cualquier otro documento propio del proceso.</t>
  </si>
  <si>
    <t>-</t>
  </si>
  <si>
    <t>Sin Documentar</t>
  </si>
  <si>
    <t>Identifica a los controles que pese a que se ejecutan en el proceso no se encuentran documentados en ningún documento propio del proceso</t>
  </si>
  <si>
    <t>Continua</t>
  </si>
  <si>
    <t>Este atributo identifica a los controles que se ejecutan siempre que se realiza la actividad originadora del riesgo.</t>
  </si>
  <si>
    <t>Aleatoria</t>
  </si>
  <si>
    <t>Este atributo identifica a los controles que no siempre se ejecutan cuando se realiza la actividad originadora del riesgo</t>
  </si>
  <si>
    <t>Con Registro</t>
  </si>
  <si>
    <t>El control deja un registro que permite evidenciar la ejecución del control</t>
  </si>
  <si>
    <t>Sin Registro</t>
  </si>
  <si>
    <t>El control no deja registro de la ejecución del control</t>
  </si>
  <si>
    <r>
      <rPr>
        <b/>
        <sz val="12"/>
        <color rgb="FFE36C09"/>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</si>
  <si>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Aceptar</t>
  </si>
  <si>
    <t>Económico</t>
  </si>
  <si>
    <t>Evitar</t>
  </si>
  <si>
    <t>Reputacional</t>
  </si>
  <si>
    <t>Reducir (compartir)</t>
  </si>
  <si>
    <t>Económico y Reputacional</t>
  </si>
  <si>
    <t>Reducir (mitigar)</t>
  </si>
  <si>
    <t>Plan de accion (solo para la opción reducir)</t>
  </si>
  <si>
    <t>Finalizado</t>
  </si>
  <si>
    <t>En curso</t>
  </si>
  <si>
    <t>Daños Activos Fisicos</t>
  </si>
  <si>
    <t>Ejecucion y Administracion de procesos</t>
  </si>
  <si>
    <t>Fallas Tecnologicas</t>
  </si>
  <si>
    <t>Fraude Externo</t>
  </si>
  <si>
    <t>Fraude Interno</t>
  </si>
  <si>
    <t>Relaciones Laborales</t>
  </si>
  <si>
    <t>Usuarios, productos y practicas , organizacionales</t>
  </si>
  <si>
    <t>Registro Sustancial</t>
  </si>
  <si>
    <t>Registro Material</t>
  </si>
  <si>
    <t>Sin registro</t>
  </si>
  <si>
    <t>Reducir</t>
  </si>
  <si>
    <t>Proceso/Subproceso:</t>
  </si>
  <si>
    <t>El riesgo afecta la imagen  de la entidad con efecto publicitario sostenido a nivel de sector administrativo, nivel departamental o municipal</t>
  </si>
  <si>
    <t>El riesgo afecta la imagen de la entidad con algunas partes interesadas de relevancia frente al logro de los objetivos</t>
  </si>
  <si>
    <r>
      <rPr>
        <b/>
        <sz val="11"/>
        <color rgb="FFE36C09"/>
        <rFont val="Century Gothic"/>
        <family val="2"/>
      </rPr>
      <t xml:space="preserve">*Nota: </t>
    </r>
    <r>
      <rPr>
        <sz val="11"/>
        <color theme="1"/>
        <rFont val="Century Gothic"/>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</si>
  <si>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FECHA</t>
  </si>
  <si>
    <t>VERSIÓN</t>
  </si>
  <si>
    <t>CÓDIGO</t>
  </si>
  <si>
    <t>PÁGINA</t>
  </si>
  <si>
    <t>MAPA DE RIESGOS DE GESTIÓN</t>
  </si>
  <si>
    <t>PE-F-055</t>
  </si>
  <si>
    <t>de</t>
  </si>
  <si>
    <t>PROCESO PLANEACIÓN ESTRATÉGICA</t>
  </si>
  <si>
    <t>NOMBRE DE FORMATO:</t>
  </si>
  <si>
    <r>
      <t>1.</t>
    </r>
    <r>
      <rPr>
        <b/>
        <sz val="7"/>
        <color theme="1"/>
        <rFont val="Times New Roman"/>
        <family val="1"/>
      </rPr>
      <t xml:space="preserve">    </t>
    </r>
    <r>
      <rPr>
        <b/>
        <sz val="11"/>
        <color theme="1"/>
        <rFont val="Century Gothic"/>
        <family val="2"/>
      </rPr>
      <t>CONTROL DE CAMBIOS</t>
    </r>
  </si>
  <si>
    <t>No. REVISIÓN</t>
  </si>
  <si>
    <t>DESCRIPCIÓN DE LA MODIFICACIÓN</t>
  </si>
  <si>
    <t>FECHA DE APROBACIÓN</t>
  </si>
  <si>
    <t>VERSIÓN ACTUALIZADA</t>
  </si>
  <si>
    <t>Elaborado por:</t>
  </si>
  <si>
    <t>Revisado por:</t>
  </si>
  <si>
    <t>Aprobado por:</t>
  </si>
  <si>
    <t>Maria Alejandra Egas</t>
  </si>
  <si>
    <t>Wilson Alexander Checa</t>
  </si>
  <si>
    <t>Marcela Sofia Peña Tupaz</t>
  </si>
  <si>
    <t>Contratista MIPG</t>
  </si>
  <si>
    <t>Coordinador Contratista MIPG</t>
  </si>
  <si>
    <t>Líder Proceso de Planeación Estrategica</t>
  </si>
  <si>
    <t>Zona de Riesgo Control</t>
  </si>
  <si>
    <t>02</t>
  </si>
  <si>
    <t>Gestión Financiera</t>
  </si>
  <si>
    <t>Administrar la política fiscal del Municipio, desarrollando acciones administrativas, tributarias, jurídicas y financieras, para lograr una eficiente, eficaz y efectiva gestión de las finanzas municipales.</t>
  </si>
  <si>
    <t>Inicia con la planificación, ejecución, control y seguimiento de los recursos financieros hasta realizar el cierre financiero.
Aplica a la elaboración de presupuesto, el registro de la ejecución de los recursos, pago de obligaciones, identificación de ingresos y gastos, actividades de recaudo, procesos de fiscalización y la presentación de informes a los entes de control.</t>
  </si>
  <si>
    <t>Disminución en la asignación de recursos públicos para el municipio</t>
  </si>
  <si>
    <t xml:space="preserve">Posibilidad de afectación económica y reputacional, por la disminución en la asignación de recursos públicos para el municipio, debido a  la baja ejecución de la inversión apropiados para cada vigencia.  </t>
  </si>
  <si>
    <t>El Jefe de Presupuesto verifica mensualmente en el módulo presupuestal del sistema SYSMAN la ejecución presupuestal y la envía a las dependencias a través de correo electrónico durante los primeros cinco días del mes para su análisis y reporte de seguimiento. Si se identifican inconsistencias por parte de las dependencias, estas serán atendidas por el área de presupuesto mediante correo electrónico para su verificación y ajuste.</t>
  </si>
  <si>
    <t>El Jefe de Presupuesto informa, al menos dos veces al año, a las dependencias mediante circular sobre la reversión de todas las disponibilidades abiertas que no se utilicen en un compromiso, con el fin de liberar los recursos no utilizados. Si alguna dependencia solicita no revertir la disponibilidad, su justificación será recibida y atendida por correo electrónico.</t>
  </si>
  <si>
    <t>Sanciones disciplinarias</t>
  </si>
  <si>
    <t>Incorrecta imputacion presupuestal de acuerdo a la normatividad vigente</t>
  </si>
  <si>
    <t>Baja ejecución de los recursos de inversion apropiados para cada vigencia</t>
  </si>
  <si>
    <t xml:space="preserve">Posibilidad de afectación económica y reputacional, por sanciones disciplinarias debido a la  incorrecta imputación presupuestal de acuerdo a la normatividad vigente. </t>
  </si>
  <si>
    <t>El equipo de profesionales de la Oficina de Presupuesto verifica diariamente la coherencia del objeto del gasto, rubro, valor y denominación del rubro registrado en el formato pef_f_02 Solicitud de Disponibilidad, según los lineamientos del Catálogo Presupuestal. Si todo está correcto, continúa con el trámite; de lo contrario, lo devuelve a la dependencia solicitante a través de correo electrónico utilizando el formato de devolución gf_f_073 diligenciado, para su corrección.</t>
  </si>
  <si>
    <t xml:space="preserve"> Retraso en presentación del Proyecto de Acuerdo del Presupuesto Municipal al Concejo</t>
  </si>
  <si>
    <t>Posibilidad de afectación reputacional, por sanciones disciplinarias, debido al retraso en presentación del Proyecto de Acuerdo del Presupuesto Municipal al Concejo.</t>
  </si>
  <si>
    <t>El Jefe de Presupuesto elabora anualmente un cronograma para la elaboración del presupuesto de ingresos y gastos en el formato gf_f_132, y realiza un seguimiento periódico con los actores involucrados, levantando actas de reunión, comunicaciones internas o registros de asistencia. Esto se hace con el objetivo de presentar el presupuesto dentro de los plazos establecidos.</t>
  </si>
  <si>
    <t xml:space="preserve">Pago de Intereses por mora </t>
  </si>
  <si>
    <t xml:space="preserve">No pago o pago extemporáneo del servicio a la deuda </t>
  </si>
  <si>
    <t>Posibilidad de afectación económica y reputacional  por el pago de intereses de mora, debido al no pago o pago extemporáneo del servicio a la deuda.</t>
  </si>
  <si>
    <t>La Jefa de la Oficina de Contaduría elabora cada año las proyecciones del servicio de la deuda del crédito actual y del endeudamiento previsto, con el objetivo de asignar los recursos necesarios para el cumplimiento de las obligaciones.</t>
  </si>
  <si>
    <t>La Jefa de la Oficina de Contaduría elabora cada año el cronograma de vencimientos de pago del servicio de la deuda y lo actualiza cuando es necesario, con el fin de cumplir con las obligaciones asumidas por el Municipio.</t>
  </si>
  <si>
    <t>La Jefe de la Oficina de Contaduría, verifica mensualmente el cronograma de vencimientos de pago, para actualizar con los nuevos desembolsos realizados, y para efectuar la Liquidación del pago de servicio de la deuda oportunamente.</t>
  </si>
  <si>
    <t>Incorrecta imputacion contable de acuerdo al marco normativo vigente</t>
  </si>
  <si>
    <t xml:space="preserve">Posibilidad de afectación económica y reputacional, por sanciones disciplinarias debido a la  incorrecta imputación contable de acuerdo al marco normativo vigente. </t>
  </si>
  <si>
    <t>No presentacion o presentacion extemporanea de informes a entes de control</t>
  </si>
  <si>
    <t>Posibilidad de afectación económica y reputacional, por sanciones disciplinarias debido a la no presentacion o presentacion extemporanea de los informes ante los entes de control y vigilancia.</t>
  </si>
  <si>
    <t>Error en la asignación de la fuente al momento del giro de los recursos públicos</t>
  </si>
  <si>
    <t>Posibilidad de afectación económica y reputacional, por sanciones disciplinarias debido a error en la asignación de la fuente al momento del giro de los recursos públicos.</t>
  </si>
  <si>
    <t>El Jefe de Presupuesto atiende las solicitudes de ajuste al presupuesto enviadas por las dependencias a través de correo electrónico al menos dos veces al mes. Gestiona el trámite mediante COMFIS o el Concejo Municipal, según corresponda, y si se aprueba, remite el acto administrativo a la dependencia que realizó la solicitud.</t>
  </si>
  <si>
    <t>Todas las áreas de la Secretaría de Hacienda que aportan insumos al proceso contable revisan al inicio de cada vigencia la parametrización y equivalencias del sistema para asegurar una correcta imputación contable, conforme a lo establecido en el marco normativo, de manera precisa y oportuna.</t>
  </si>
  <si>
    <t>El equipo de profesionales de la Oficina de Presupuesto proporciona asesorías y/o capacitaciones en temas de manejo presupuestal a las distintas áreas de la Administración que gestionan proyectos de inversión cuando estas lo soliciten, con el fin de facilitar la afectación presupuestal conforme al catálogo presupuestal.</t>
  </si>
  <si>
    <t>La Jefa de la Oficina de Contaduria atiende la Resolución 411 de noviembre de 2023, la cual establece los plazos máximos para la entrega de informes a la Contaduría General de la Nación, y al inicio de cada vigencia elabora un cronograma de entrega de informes.</t>
  </si>
  <si>
    <t>El profesional universitario del área de Tesorería revisa diariamente, el rubro presupuestal de la orden de pago para confirmar la fuente y luego procede a elaborar el comprobante de egreso.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</si>
</sst>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66" x14ac:knownFonts="1">
    <font>
      <sz val="11"/>
      <color theme="1"/>
      <name val="Arial"/>
    </font>
    <font>
      <sz val="11"/>
      <color theme="1"/>
      <name val="Calibri"/>
      <family val="2"/>
    </font>
    <font>
      <b/>
      <sz val="14"/>
      <color theme="1"/>
      <name val="Arial Narrow"/>
      <family val="2"/>
    </font>
    <font>
      <sz val="11"/>
      <name val="Arial"/>
      <family val="2"/>
    </font>
    <font>
      <sz val="10"/>
      <color theme="1"/>
      <name val="Arial Narrow"/>
      <family val="2"/>
    </font>
    <font>
      <b/>
      <u/>
      <sz val="11"/>
      <color theme="1"/>
      <name val="Arial Narrow"/>
      <family val="2"/>
    </font>
    <font>
      <sz val="11"/>
      <color theme="1"/>
      <name val="Arial Narrow"/>
      <family val="2"/>
    </font>
    <font>
      <b/>
      <u/>
      <sz val="11"/>
      <color theme="1"/>
      <name val="Arial Narrow"/>
      <family val="2"/>
    </font>
    <font>
      <b/>
      <sz val="11"/>
      <color theme="1"/>
      <name val="Arial Narrow"/>
      <family val="2"/>
    </font>
    <font>
      <b/>
      <sz val="10"/>
      <color theme="1"/>
      <name val="Arial Narrow"/>
      <family val="2"/>
    </font>
    <font>
      <b/>
      <sz val="9"/>
      <color theme="1"/>
      <name val="Arial Narrow"/>
      <family val="2"/>
    </font>
    <font>
      <sz val="9"/>
      <color theme="1"/>
      <name val="Arial Narrow"/>
      <family val="2"/>
    </font>
    <font>
      <b/>
      <sz val="22"/>
      <color theme="1"/>
      <name val="Arial Narrow"/>
      <family val="2"/>
    </font>
    <font>
      <b/>
      <sz val="18"/>
      <color theme="1"/>
      <name val="Arial Narrow"/>
      <family val="2"/>
    </font>
    <font>
      <b/>
      <sz val="40"/>
      <color rgb="FF000000"/>
      <name val="Calibri"/>
      <family val="2"/>
    </font>
    <font>
      <sz val="28"/>
      <color theme="1"/>
      <name val="Calibri"/>
      <family val="2"/>
    </font>
    <font>
      <b/>
      <sz val="28"/>
      <color rgb="FF000000"/>
      <name val="Calibri"/>
      <family val="2"/>
    </font>
    <font>
      <b/>
      <sz val="36"/>
      <color rgb="FF000000"/>
      <name val="Calibri"/>
      <family val="2"/>
    </font>
    <font>
      <sz val="24"/>
      <color theme="1"/>
      <name val="Arial Narrow"/>
      <family val="2"/>
    </font>
    <font>
      <b/>
      <sz val="20"/>
      <color theme="1"/>
      <name val="Calibri"/>
      <family val="2"/>
    </font>
    <font>
      <b/>
      <sz val="12"/>
      <color rgb="FF000000"/>
      <name val="Calibri"/>
      <family val="2"/>
    </font>
    <font>
      <b/>
      <sz val="24"/>
      <color rgb="FF000000"/>
      <name val="Calibri"/>
      <family val="2"/>
    </font>
    <font>
      <b/>
      <sz val="18"/>
      <color rgb="FF000000"/>
      <name val="Calibri"/>
      <family val="2"/>
    </font>
    <font>
      <sz val="18"/>
      <color theme="1"/>
      <name val="Arial"/>
      <family val="2"/>
    </font>
    <font>
      <b/>
      <sz val="20"/>
      <color rgb="FF000000"/>
      <name val="Arial Narrow"/>
      <family val="2"/>
    </font>
    <font>
      <sz val="20"/>
      <color rgb="FF000000"/>
      <name val="Arial Narrow"/>
      <family val="2"/>
    </font>
    <font>
      <sz val="20"/>
      <color rgb="FFFFFFFF"/>
      <name val="Arial Narrow"/>
      <family val="2"/>
    </font>
    <font>
      <b/>
      <sz val="26"/>
      <color theme="1"/>
      <name val="Arial Narrow"/>
      <family val="2"/>
    </font>
    <font>
      <sz val="24"/>
      <color theme="1"/>
      <name val="Arial"/>
      <family val="2"/>
    </font>
    <font>
      <b/>
      <sz val="24"/>
      <color rgb="FF000000"/>
      <name val="Arial Narrow"/>
      <family val="2"/>
    </font>
    <font>
      <sz val="11"/>
      <color theme="0"/>
      <name val="Calibri"/>
      <family val="2"/>
    </font>
    <font>
      <sz val="26"/>
      <color rgb="FF000000"/>
      <name val="Arial Narrow"/>
      <family val="2"/>
    </font>
    <font>
      <sz val="26"/>
      <color rgb="FFFFFFFF"/>
      <name val="Arial Narrow"/>
      <family val="2"/>
    </font>
    <font>
      <sz val="16"/>
      <color rgb="FF000000"/>
      <name val="Arial Narrow"/>
      <family val="2"/>
    </font>
    <font>
      <sz val="16"/>
      <color rgb="FFFF0000"/>
      <name val="Arial Narrow"/>
      <family val="2"/>
    </font>
    <font>
      <sz val="16"/>
      <color rgb="FFFF0000"/>
      <name val="Calibri"/>
      <family val="2"/>
    </font>
    <font>
      <sz val="11"/>
      <color theme="1"/>
      <name val="Calibri"/>
      <family val="2"/>
    </font>
    <font>
      <sz val="11"/>
      <color rgb="FFFF0000"/>
      <name val="Calibri"/>
      <family val="2"/>
    </font>
    <font>
      <sz val="11"/>
      <color rgb="FF030303"/>
      <name val="Arial"/>
      <family val="2"/>
    </font>
    <font>
      <sz val="10"/>
      <color theme="1"/>
      <name val="Calibri"/>
      <family val="2"/>
    </font>
    <font>
      <b/>
      <sz val="14"/>
      <color rgb="FF000000"/>
      <name val="Arial Narrow"/>
      <family val="2"/>
    </font>
    <font>
      <sz val="12"/>
      <color theme="1"/>
      <name val="Calibri"/>
      <family val="2"/>
    </font>
    <font>
      <b/>
      <sz val="12"/>
      <color rgb="FF000000"/>
      <name val="Arial Narrow"/>
      <family val="2"/>
    </font>
    <font>
      <sz val="12"/>
      <color rgb="FF000000"/>
      <name val="Arial Narrow"/>
      <family val="2"/>
    </font>
    <font>
      <sz val="12"/>
      <color theme="1"/>
      <name val="Arial Narrow"/>
      <family val="2"/>
    </font>
    <font>
      <sz val="10"/>
      <color rgb="FF000000"/>
      <name val="Arial Narrow"/>
      <family val="2"/>
    </font>
    <font>
      <b/>
      <sz val="10"/>
      <color rgb="FFE36C09"/>
      <name val="Arial Narrow"/>
      <family val="2"/>
    </font>
    <font>
      <b/>
      <sz val="11"/>
      <color rgb="FFE36C09"/>
      <name val="Arial Narrow"/>
      <family val="2"/>
    </font>
    <font>
      <b/>
      <sz val="9"/>
      <color rgb="FFE36C09"/>
      <name val="Arial Narrow"/>
      <family val="2"/>
    </font>
    <font>
      <b/>
      <sz val="12"/>
      <color rgb="FFE36C09"/>
      <name val="Arial Narrow"/>
      <family val="2"/>
    </font>
    <font>
      <b/>
      <sz val="11"/>
      <color theme="1"/>
      <name val="Century Gothic"/>
      <family val="2"/>
    </font>
    <font>
      <sz val="11"/>
      <color theme="1"/>
      <name val="Century Gothic"/>
      <family val="2"/>
    </font>
    <font>
      <sz val="11"/>
      <name val="Century Gothic"/>
      <family val="2"/>
    </font>
    <font>
      <b/>
      <sz val="11"/>
      <color rgb="FFE36C09"/>
      <name val="Century Gothic"/>
      <family val="2"/>
    </font>
    <font>
      <b/>
      <sz val="10"/>
      <color theme="1"/>
      <name val="Century Gothic"/>
      <family val="2"/>
    </font>
    <font>
      <sz val="8"/>
      <color theme="1"/>
      <name val="Century Gothic"/>
      <family val="2"/>
    </font>
    <font>
      <b/>
      <sz val="12"/>
      <color theme="1"/>
      <name val="Century Gothic"/>
      <family val="2"/>
    </font>
    <font>
      <b/>
      <sz val="18"/>
      <color theme="1"/>
      <name val="Century Gothic"/>
      <family val="2"/>
    </font>
    <font>
      <sz val="18"/>
      <color theme="1"/>
      <name val="Century Gothic"/>
      <family val="2"/>
    </font>
    <font>
      <sz val="9"/>
      <color theme="1"/>
      <name val="Century Gothic"/>
      <family val="2"/>
    </font>
    <font>
      <sz val="12"/>
      <color theme="1"/>
      <name val="Century Gothic"/>
      <family val="2"/>
    </font>
    <font>
      <b/>
      <sz val="7"/>
      <color theme="1"/>
      <name val="Times New Roman"/>
      <family val="1"/>
    </font>
    <font>
      <sz val="11"/>
      <color theme="1"/>
      <name val="Arial Narrow"/>
      <family val="2"/>
    </font>
    <font>
      <b/>
      <sz val="11"/>
      <color theme="1"/>
      <name val="Arial Narrow"/>
      <family val="2"/>
    </font>
    <font>
      <sz val="14"/>
      <color theme="1"/>
      <name val="Century Gothic"/>
      <family val="2"/>
    </font>
    <font>
      <sz val="10"/>
      <color theme="1"/>
      <name val="Century Gothic"/>
      <family val="2"/>
    </font>
  </fonts>
  <fills count="17">
    <fill>
      <patternFill patternType="none"/>
    </fill>
    <fill>
      <patternFill patternType="gray125"/>
    </fill>
    <fill>
      <patternFill patternType="solid">
        <fgColor theme="0"/>
        <bgColor theme="0"/>
      </patternFill>
    </fill>
    <fill>
      <patternFill patternType="solid">
        <fgColor rgb="FFFABF8F"/>
        <bgColor rgb="FFFABF8F"/>
      </patternFill>
    </fill>
    <fill>
      <patternFill patternType="solid">
        <fgColor rgb="FFFBD4B4"/>
        <bgColor rgb="FFFBD4B4"/>
      </patternFill>
    </fill>
    <fill>
      <patternFill patternType="solid">
        <fgColor rgb="FFFF0000"/>
        <bgColor rgb="FFFF0000"/>
      </patternFill>
    </fill>
    <fill>
      <patternFill patternType="solid">
        <fgColor rgb="FFD9D9D9"/>
        <bgColor rgb="FFD9D9D9"/>
      </patternFill>
    </fill>
    <fill>
      <patternFill patternType="solid">
        <fgColor rgb="FFE26B0A"/>
        <bgColor rgb="FFE26B0A"/>
      </patternFill>
    </fill>
    <fill>
      <patternFill patternType="solid">
        <fgColor rgb="FFC00000"/>
        <bgColor rgb="FFC00000"/>
      </patternFill>
    </fill>
    <fill>
      <patternFill patternType="solid">
        <fgColor rgb="FFFFFF00"/>
        <bgColor rgb="FFFFFF00"/>
      </patternFill>
    </fill>
    <fill>
      <patternFill patternType="solid">
        <fgColor rgb="FF92D050"/>
        <bgColor rgb="FF92D050"/>
      </patternFill>
    </fill>
    <fill>
      <patternFill patternType="solid">
        <fgColor rgb="FFBFBFBF"/>
        <bgColor rgb="FFBFBFBF"/>
      </patternFill>
    </fill>
    <fill>
      <patternFill patternType="solid">
        <fgColor rgb="FF00B050"/>
        <bgColor rgb="FF00B050"/>
      </patternFill>
    </fill>
    <fill>
      <patternFill patternType="solid">
        <fgColor rgb="FFFFFF66"/>
        <bgColor rgb="FFFFFF66"/>
      </patternFill>
    </fill>
    <fill>
      <patternFill patternType="solid">
        <fgColor rgb="FFFFC000"/>
        <bgColor rgb="FFFFC000"/>
      </patternFill>
    </fill>
    <fill>
      <patternFill patternType="solid">
        <fgColor rgb="FFFDE9D9"/>
        <bgColor rgb="FFFDE9D9"/>
      </patternFill>
    </fill>
    <fill>
      <patternFill patternType="solid">
        <fgColor rgb="FFFFFF00"/>
        <bgColor indexed="64"/>
      </patternFill>
    </fill>
  </fills>
  <borders count="132">
    <border>
      <left/>
      <right/>
      <top/>
      <bottom/>
      <diagonal/>
    </border>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diagonal/>
    </border>
    <border>
      <left/>
      <right style="medium">
        <color rgb="FF000000"/>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bottom/>
      <diagonal/>
    </border>
    <border>
      <left/>
      <right style="medium">
        <color rgb="FF000000"/>
      </right>
      <top/>
      <bottom/>
      <diagonal/>
    </border>
    <border>
      <left style="double">
        <color rgb="FF000000"/>
      </left>
      <right/>
      <top style="double">
        <color rgb="FF000000"/>
      </top>
      <bottom/>
      <diagonal/>
    </border>
    <border>
      <left/>
      <right style="thin">
        <color theme="0"/>
      </right>
      <top style="double">
        <color rgb="FF000000"/>
      </top>
      <bottom/>
      <diagonal/>
    </border>
    <border>
      <left style="thin">
        <color theme="0"/>
      </left>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style="hair">
        <color rgb="FF000000"/>
      </left>
      <right/>
      <top style="thin">
        <color rgb="FF000000"/>
      </top>
      <bottom style="hair">
        <color rgb="FF000000"/>
      </bottom>
      <diagonal/>
    </border>
    <border>
      <left/>
      <right style="double">
        <color rgb="FF000000"/>
      </right>
      <top style="thin">
        <color rgb="FF000000"/>
      </top>
      <bottom style="hair">
        <color rgb="FF000000"/>
      </bottom>
      <diagonal/>
    </border>
    <border>
      <left style="double">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style="double">
        <color rgb="FF000000"/>
      </right>
      <top style="hair">
        <color rgb="FF000000"/>
      </top>
      <bottom style="hair">
        <color rgb="FF000000"/>
      </bottom>
      <diagonal/>
    </border>
    <border>
      <left style="double">
        <color rgb="FF000000"/>
      </left>
      <right/>
      <top style="hair">
        <color rgb="FF000000"/>
      </top>
      <bottom style="double">
        <color rgb="FF000000"/>
      </bottom>
      <diagonal/>
    </border>
    <border>
      <left/>
      <right style="hair">
        <color rgb="FF000000"/>
      </right>
      <top style="hair">
        <color rgb="FF000000"/>
      </top>
      <bottom style="double">
        <color rgb="FF000000"/>
      </bottom>
      <diagonal/>
    </border>
    <border>
      <left style="hair">
        <color rgb="FF000000"/>
      </left>
      <right/>
      <top style="hair">
        <color rgb="FF000000"/>
      </top>
      <bottom style="double">
        <color rgb="FF000000"/>
      </bottom>
      <diagonal/>
    </border>
    <border>
      <left/>
      <right style="double">
        <color rgb="FF000000"/>
      </right>
      <top style="hair">
        <color rgb="FF000000"/>
      </top>
      <bottom style="double">
        <color rgb="FF000000"/>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diagonal/>
    </border>
    <border>
      <left/>
      <right/>
      <top style="medium">
        <color rgb="FF000000"/>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rgb="FF000000"/>
      </left>
      <right/>
      <top/>
      <bottom/>
      <diagonal/>
    </border>
    <border>
      <left/>
      <right style="medium">
        <color rgb="FF000000"/>
      </right>
      <top/>
      <bottom/>
      <diagonal/>
    </border>
    <border>
      <left style="medium">
        <color theme="0"/>
      </left>
      <right/>
      <top/>
      <bottom/>
      <diagonal/>
    </border>
    <border>
      <left/>
      <right style="medium">
        <color theme="0"/>
      </right>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top/>
      <bottom style="medium">
        <color rgb="FF000000"/>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dotted">
        <color rgb="FFF79646"/>
      </left>
      <right style="dotted">
        <color rgb="FFF79646"/>
      </right>
      <top/>
      <bottom style="dotted">
        <color rgb="FFF79646"/>
      </bottom>
      <diagonal/>
    </border>
    <border>
      <left style="dotted">
        <color rgb="FFF79646"/>
      </left>
      <right style="dotted">
        <color rgb="FFF79646"/>
      </right>
      <top/>
      <bottom style="dotted">
        <color rgb="FFF79646"/>
      </bottom>
      <diagonal/>
    </border>
    <border>
      <left style="dotted">
        <color rgb="FFF79646"/>
      </left>
      <right style="dotted">
        <color rgb="FFF79646"/>
      </right>
      <top style="dotted">
        <color rgb="FFF79646"/>
      </top>
      <bottom style="dotted">
        <color rgb="FFF79646"/>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tted">
        <color rgb="FFE36C09"/>
      </left>
      <right style="dotted">
        <color rgb="FFE36C09"/>
      </right>
      <top style="dotted">
        <color rgb="FFE36C09"/>
      </top>
      <bottom/>
      <diagonal/>
    </border>
    <border>
      <left style="dotted">
        <color rgb="FFE36C09"/>
      </left>
      <right style="dotted">
        <color rgb="FFE36C09"/>
      </right>
      <top/>
      <bottom/>
      <diagonal/>
    </border>
    <border>
      <left style="dotted">
        <color rgb="FFE36C09"/>
      </left>
      <right style="dotted">
        <color rgb="FFE36C09"/>
      </right>
      <top/>
      <bottom style="dotted">
        <color rgb="FFE36C09"/>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dotted">
        <color rgb="FFE36C09"/>
      </left>
      <right/>
      <top style="dotted">
        <color rgb="FFE36C09"/>
      </top>
      <bottom style="dotted">
        <color rgb="FFE36C09"/>
      </bottom>
      <diagonal/>
    </border>
    <border>
      <left/>
      <right/>
      <top style="dotted">
        <color rgb="FFE36C09"/>
      </top>
      <bottom style="dotted">
        <color rgb="FFE36C09"/>
      </bottom>
      <diagonal/>
    </border>
    <border>
      <left/>
      <right style="dotted">
        <color rgb="FFE36C09"/>
      </right>
      <top style="dotted">
        <color rgb="FFE36C09"/>
      </top>
      <bottom style="dotted">
        <color rgb="FFE36C09"/>
      </bottom>
      <diagonal/>
    </border>
    <border>
      <left style="dotted">
        <color rgb="FFE36C09"/>
      </left>
      <right style="dotted">
        <color rgb="FFE36C09"/>
      </right>
      <top style="dotted">
        <color rgb="FFE36C09"/>
      </top>
      <bottom style="dotted">
        <color rgb="FFE36C09"/>
      </bottom>
      <diagonal/>
    </border>
    <border>
      <left style="thin">
        <color indexed="64"/>
      </left>
      <right style="thin">
        <color indexed="64"/>
      </right>
      <top style="dotted">
        <color rgb="FFE36C09"/>
      </top>
      <bottom/>
      <diagonal/>
    </border>
    <border>
      <left style="thin">
        <color indexed="64"/>
      </left>
      <right style="thin">
        <color indexed="64"/>
      </right>
      <top/>
      <bottom style="dotted">
        <color rgb="FFE36C09"/>
      </bottom>
      <diagonal/>
    </border>
  </borders>
  <cellStyleXfs count="1">
    <xf numFmtId="0" fontId="0" fillId="0" borderId="0"/>
  </cellStyleXfs>
  <cellXfs count="349">
    <xf numFmtId="0" fontId="0" fillId="0" borderId="0" xfId="0"/>
    <xf numFmtId="0" fontId="1" fillId="2" borderId="1" xfId="0" applyFont="1" applyFill="1" applyBorder="1"/>
    <xf numFmtId="0" fontId="4" fillId="2" borderId="5" xfId="0" applyFont="1" applyFill="1" applyBorder="1"/>
    <xf numFmtId="0" fontId="4" fillId="2" borderId="6" xfId="0" applyFont="1" applyFill="1" applyBorder="1"/>
    <xf numFmtId="0" fontId="4" fillId="2" borderId="7" xfId="0" applyFont="1" applyFill="1" applyBorder="1"/>
    <xf numFmtId="0" fontId="7" fillId="2" borderId="19" xfId="0" applyFont="1" applyFill="1" applyBorder="1" applyAlignment="1">
      <alignment horizontal="left" vertical="top" wrapText="1"/>
    </xf>
    <xf numFmtId="0" fontId="8" fillId="2" borderId="1" xfId="0" applyFont="1" applyFill="1" applyBorder="1" applyAlignment="1">
      <alignment horizontal="left" vertical="top" wrapText="1"/>
    </xf>
    <xf numFmtId="0" fontId="8" fillId="2" borderId="20" xfId="0" applyFont="1" applyFill="1" applyBorder="1" applyAlignment="1">
      <alignment horizontal="left" vertical="top" wrapText="1"/>
    </xf>
    <xf numFmtId="0" fontId="4" fillId="2" borderId="19" xfId="0" applyFont="1" applyFill="1" applyBorder="1"/>
    <xf numFmtId="0" fontId="4" fillId="2" borderId="1" xfId="0" applyFont="1" applyFill="1" applyBorder="1"/>
    <xf numFmtId="0" fontId="9"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20" xfId="0" applyFont="1" applyFill="1" applyBorder="1"/>
    <xf numFmtId="0" fontId="10" fillId="2" borderId="1" xfId="0" applyFont="1" applyFill="1" applyBorder="1" applyAlignment="1">
      <alignment horizontal="left" vertical="center" wrapText="1"/>
    </xf>
    <xf numFmtId="0" fontId="11" fillId="2" borderId="1" xfId="0" applyFont="1" applyFill="1" applyBorder="1" applyAlignment="1">
      <alignment horizontal="left" vertical="top" wrapText="1"/>
    </xf>
    <xf numFmtId="0" fontId="20" fillId="7" borderId="75" xfId="0" applyFont="1" applyFill="1" applyBorder="1" applyAlignment="1">
      <alignment horizontal="center" vertical="center" wrapText="1" readingOrder="1"/>
    </xf>
    <xf numFmtId="0" fontId="20" fillId="7" borderId="76" xfId="0" applyFont="1" applyFill="1" applyBorder="1" applyAlignment="1">
      <alignment horizontal="center" vertical="center" wrapText="1" readingOrder="1"/>
    </xf>
    <xf numFmtId="0" fontId="20" fillId="7" borderId="77" xfId="0" applyFont="1" applyFill="1" applyBorder="1" applyAlignment="1">
      <alignment horizontal="center" vertical="center" wrapText="1" readingOrder="1"/>
    </xf>
    <xf numFmtId="0" fontId="20" fillId="8" borderId="75" xfId="0" applyFont="1" applyFill="1" applyBorder="1" applyAlignment="1">
      <alignment horizontal="center" wrapText="1" readingOrder="1"/>
    </xf>
    <xf numFmtId="0" fontId="20" fillId="8" borderId="76" xfId="0" applyFont="1" applyFill="1" applyBorder="1" applyAlignment="1">
      <alignment horizontal="center" wrapText="1" readingOrder="1"/>
    </xf>
    <xf numFmtId="0" fontId="20" fillId="8" borderId="77" xfId="0" applyFont="1" applyFill="1" applyBorder="1" applyAlignment="1">
      <alignment horizontal="center" wrapText="1" readingOrder="1"/>
    </xf>
    <xf numFmtId="0" fontId="20" fillId="7" borderId="19" xfId="0" applyFont="1" applyFill="1" applyBorder="1" applyAlignment="1">
      <alignment horizontal="center" vertical="center" wrapText="1" readingOrder="1"/>
    </xf>
    <xf numFmtId="0" fontId="20" fillId="7" borderId="1" xfId="0" applyFont="1" applyFill="1" applyBorder="1" applyAlignment="1">
      <alignment horizontal="center" vertical="center" wrapText="1" readingOrder="1"/>
    </xf>
    <xf numFmtId="0" fontId="20" fillId="7" borderId="20" xfId="0" applyFont="1" applyFill="1" applyBorder="1" applyAlignment="1">
      <alignment horizontal="center" vertical="center" wrapText="1" readingOrder="1"/>
    </xf>
    <xf numFmtId="0" fontId="20" fillId="8" borderId="19" xfId="0" applyFont="1" applyFill="1" applyBorder="1" applyAlignment="1">
      <alignment horizontal="center" wrapText="1" readingOrder="1"/>
    </xf>
    <xf numFmtId="0" fontId="20" fillId="8" borderId="1" xfId="0" applyFont="1" applyFill="1" applyBorder="1" applyAlignment="1">
      <alignment horizontal="center" wrapText="1" readingOrder="1"/>
    </xf>
    <xf numFmtId="0" fontId="20" fillId="8" borderId="20" xfId="0" applyFont="1" applyFill="1" applyBorder="1" applyAlignment="1">
      <alignment horizontal="center" wrapText="1" readingOrder="1"/>
    </xf>
    <xf numFmtId="0" fontId="20" fillId="7" borderId="40" xfId="0" applyFont="1" applyFill="1" applyBorder="1" applyAlignment="1">
      <alignment horizontal="center" vertical="center" wrapText="1" readingOrder="1"/>
    </xf>
    <xf numFmtId="0" fontId="20" fillId="7" borderId="41" xfId="0" applyFont="1" applyFill="1" applyBorder="1" applyAlignment="1">
      <alignment horizontal="center" vertical="center" wrapText="1" readingOrder="1"/>
    </xf>
    <xf numFmtId="0" fontId="20" fillId="7" borderId="42" xfId="0" applyFont="1" applyFill="1" applyBorder="1" applyAlignment="1">
      <alignment horizontal="center" vertical="center" wrapText="1" readingOrder="1"/>
    </xf>
    <xf numFmtId="0" fontId="20" fillId="8" borderId="40" xfId="0" applyFont="1" applyFill="1" applyBorder="1" applyAlignment="1">
      <alignment horizontal="center" wrapText="1" readingOrder="1"/>
    </xf>
    <xf numFmtId="0" fontId="20" fillId="8" borderId="41" xfId="0" applyFont="1" applyFill="1" applyBorder="1" applyAlignment="1">
      <alignment horizontal="center" wrapText="1" readingOrder="1"/>
    </xf>
    <xf numFmtId="0" fontId="20" fillId="8" borderId="42" xfId="0" applyFont="1" applyFill="1" applyBorder="1" applyAlignment="1">
      <alignment horizontal="center" wrapText="1" readingOrder="1"/>
    </xf>
    <xf numFmtId="0" fontId="20" fillId="9" borderId="75" xfId="0" applyFont="1" applyFill="1" applyBorder="1" applyAlignment="1">
      <alignment horizontal="center" wrapText="1" readingOrder="1"/>
    </xf>
    <xf numFmtId="0" fontId="20" fillId="9" borderId="76" xfId="0" applyFont="1" applyFill="1" applyBorder="1" applyAlignment="1">
      <alignment horizontal="center" wrapText="1" readingOrder="1"/>
    </xf>
    <xf numFmtId="0" fontId="20" fillId="9" borderId="77" xfId="0" applyFont="1" applyFill="1" applyBorder="1" applyAlignment="1">
      <alignment horizontal="center" wrapText="1" readingOrder="1"/>
    </xf>
    <xf numFmtId="0" fontId="20" fillId="9" borderId="19" xfId="0" applyFont="1" applyFill="1" applyBorder="1" applyAlignment="1">
      <alignment horizontal="center" wrapText="1" readingOrder="1"/>
    </xf>
    <xf numFmtId="0" fontId="20" fillId="9" borderId="1" xfId="0" applyFont="1" applyFill="1" applyBorder="1" applyAlignment="1">
      <alignment horizontal="center" wrapText="1" readingOrder="1"/>
    </xf>
    <xf numFmtId="0" fontId="20" fillId="9" borderId="20" xfId="0" applyFont="1" applyFill="1" applyBorder="1" applyAlignment="1">
      <alignment horizontal="center" wrapText="1" readingOrder="1"/>
    </xf>
    <xf numFmtId="0" fontId="20" fillId="9" borderId="40" xfId="0" applyFont="1" applyFill="1" applyBorder="1" applyAlignment="1">
      <alignment horizontal="center" wrapText="1" readingOrder="1"/>
    </xf>
    <xf numFmtId="0" fontId="20" fillId="9" borderId="41" xfId="0" applyFont="1" applyFill="1" applyBorder="1" applyAlignment="1">
      <alignment horizontal="center" wrapText="1" readingOrder="1"/>
    </xf>
    <xf numFmtId="0" fontId="20" fillId="9" borderId="42" xfId="0" applyFont="1" applyFill="1" applyBorder="1" applyAlignment="1">
      <alignment horizontal="center" wrapText="1" readingOrder="1"/>
    </xf>
    <xf numFmtId="0" fontId="20" fillId="10" borderId="75" xfId="0" applyFont="1" applyFill="1" applyBorder="1" applyAlignment="1">
      <alignment horizontal="center" wrapText="1" readingOrder="1"/>
    </xf>
    <xf numFmtId="0" fontId="20" fillId="10" borderId="76" xfId="0" applyFont="1" applyFill="1" applyBorder="1" applyAlignment="1">
      <alignment horizontal="center" wrapText="1" readingOrder="1"/>
    </xf>
    <xf numFmtId="0" fontId="20" fillId="10" borderId="77" xfId="0" applyFont="1" applyFill="1" applyBorder="1" applyAlignment="1">
      <alignment horizontal="center" wrapText="1" readingOrder="1"/>
    </xf>
    <xf numFmtId="0" fontId="20" fillId="10" borderId="19" xfId="0" applyFont="1" applyFill="1" applyBorder="1" applyAlignment="1">
      <alignment horizontal="center" wrapText="1" readingOrder="1"/>
    </xf>
    <xf numFmtId="0" fontId="20" fillId="10" borderId="1" xfId="0" applyFont="1" applyFill="1" applyBorder="1" applyAlignment="1">
      <alignment horizontal="center" wrapText="1" readingOrder="1"/>
    </xf>
    <xf numFmtId="0" fontId="20" fillId="10" borderId="20" xfId="0" applyFont="1" applyFill="1" applyBorder="1" applyAlignment="1">
      <alignment horizontal="center" wrapText="1" readingOrder="1"/>
    </xf>
    <xf numFmtId="0" fontId="20" fillId="10" borderId="40" xfId="0" applyFont="1" applyFill="1" applyBorder="1" applyAlignment="1">
      <alignment horizontal="center" wrapText="1" readingOrder="1"/>
    </xf>
    <xf numFmtId="0" fontId="20" fillId="10" borderId="41" xfId="0" applyFont="1" applyFill="1" applyBorder="1" applyAlignment="1">
      <alignment horizontal="center" wrapText="1" readingOrder="1"/>
    </xf>
    <xf numFmtId="0" fontId="20" fillId="10" borderId="42" xfId="0" applyFont="1" applyFill="1" applyBorder="1" applyAlignment="1">
      <alignment horizontal="center" wrapText="1" readingOrder="1"/>
    </xf>
    <xf numFmtId="0" fontId="22" fillId="9" borderId="76" xfId="0" applyFont="1" applyFill="1" applyBorder="1" applyAlignment="1">
      <alignment horizontal="center" wrapText="1" readingOrder="1"/>
    </xf>
    <xf numFmtId="0" fontId="23" fillId="0" borderId="0" xfId="0" applyFont="1" applyAlignment="1">
      <alignment horizontal="center" vertical="center" wrapText="1"/>
    </xf>
    <xf numFmtId="0" fontId="24" fillId="11" borderId="1" xfId="0" applyFont="1" applyFill="1" applyBorder="1" applyAlignment="1">
      <alignment horizontal="center" vertical="center" wrapText="1" readingOrder="1"/>
    </xf>
    <xf numFmtId="0" fontId="25" fillId="10" borderId="78" xfId="0" applyFont="1" applyFill="1" applyBorder="1" applyAlignment="1">
      <alignment horizontal="center" vertical="center" wrapText="1" readingOrder="1"/>
    </xf>
    <xf numFmtId="0" fontId="25" fillId="0" borderId="79" xfId="0" applyFont="1" applyBorder="1" applyAlignment="1">
      <alignment horizontal="left" vertical="center" wrapText="1" readingOrder="1"/>
    </xf>
    <xf numFmtId="9" fontId="25" fillId="0" borderId="79" xfId="0" applyNumberFormat="1" applyFont="1" applyBorder="1" applyAlignment="1">
      <alignment horizontal="center" vertical="center" wrapText="1" readingOrder="1"/>
    </xf>
    <xf numFmtId="0" fontId="25" fillId="12" borderId="80" xfId="0" applyFont="1" applyFill="1" applyBorder="1" applyAlignment="1">
      <alignment horizontal="center" vertical="center" wrapText="1" readingOrder="1"/>
    </xf>
    <xf numFmtId="0" fontId="25" fillId="0" borderId="80" xfId="0" applyFont="1" applyBorder="1" applyAlignment="1">
      <alignment horizontal="left" vertical="center" wrapText="1" readingOrder="1"/>
    </xf>
    <xf numFmtId="9" fontId="25" fillId="0" borderId="80" xfId="0" applyNumberFormat="1" applyFont="1" applyBorder="1" applyAlignment="1">
      <alignment horizontal="center" vertical="center" wrapText="1" readingOrder="1"/>
    </xf>
    <xf numFmtId="0" fontId="25" fillId="13" borderId="80" xfId="0" applyFont="1" applyFill="1" applyBorder="1" applyAlignment="1">
      <alignment horizontal="center" vertical="center" wrapText="1" readingOrder="1"/>
    </xf>
    <xf numFmtId="0" fontId="25" fillId="14" borderId="80" xfId="0" applyFont="1" applyFill="1" applyBorder="1" applyAlignment="1">
      <alignment horizontal="center" vertical="center" wrapText="1" readingOrder="1"/>
    </xf>
    <xf numFmtId="0" fontId="26" fillId="5" borderId="80" xfId="0" applyFont="1" applyFill="1" applyBorder="1" applyAlignment="1">
      <alignment horizontal="center" vertical="center" wrapText="1" readingOrder="1"/>
    </xf>
    <xf numFmtId="0" fontId="28" fillId="2" borderId="1" xfId="0" applyFont="1" applyFill="1" applyBorder="1" applyAlignment="1">
      <alignment horizontal="center" vertical="center" wrapText="1"/>
    </xf>
    <xf numFmtId="0" fontId="29" fillId="11" borderId="1" xfId="0" applyFont="1" applyFill="1" applyBorder="1" applyAlignment="1">
      <alignment horizontal="center" vertical="center" wrapText="1" readingOrder="1"/>
    </xf>
    <xf numFmtId="0" fontId="30" fillId="2" borderId="1" xfId="0" applyFont="1" applyFill="1" applyBorder="1"/>
    <xf numFmtId="0" fontId="31" fillId="10" borderId="78" xfId="0" applyFont="1" applyFill="1" applyBorder="1" applyAlignment="1">
      <alignment horizontal="center" vertical="center" wrapText="1" readingOrder="1"/>
    </xf>
    <xf numFmtId="0" fontId="31" fillId="0" borderId="79" xfId="0" applyFont="1" applyBorder="1" applyAlignment="1">
      <alignment horizontal="center" vertical="center" wrapText="1" readingOrder="1"/>
    </xf>
    <xf numFmtId="0" fontId="31" fillId="0" borderId="79" xfId="0" applyFont="1" applyBorder="1" applyAlignment="1">
      <alignment horizontal="left" vertical="center" wrapText="1" readingOrder="1"/>
    </xf>
    <xf numFmtId="0" fontId="31" fillId="12" borderId="80" xfId="0" applyFont="1" applyFill="1" applyBorder="1" applyAlignment="1">
      <alignment horizontal="center" vertical="center" wrapText="1" readingOrder="1"/>
    </xf>
    <xf numFmtId="0" fontId="31" fillId="0" borderId="80" xfId="0" applyFont="1" applyBorder="1" applyAlignment="1">
      <alignment horizontal="center" vertical="center" wrapText="1" readingOrder="1"/>
    </xf>
    <xf numFmtId="0" fontId="31" fillId="0" borderId="80" xfId="0" applyFont="1" applyBorder="1" applyAlignment="1">
      <alignment horizontal="left" vertical="center" wrapText="1" readingOrder="1"/>
    </xf>
    <xf numFmtId="0" fontId="31" fillId="13" borderId="80" xfId="0" applyFont="1" applyFill="1" applyBorder="1" applyAlignment="1">
      <alignment horizontal="center" vertical="center" wrapText="1" readingOrder="1"/>
    </xf>
    <xf numFmtId="0" fontId="31" fillId="14" borderId="80" xfId="0" applyFont="1" applyFill="1" applyBorder="1" applyAlignment="1">
      <alignment horizontal="center" vertical="center" wrapText="1" readingOrder="1"/>
    </xf>
    <xf numFmtId="0" fontId="32" fillId="5" borderId="80" xfId="0" applyFont="1" applyFill="1" applyBorder="1" applyAlignment="1">
      <alignment horizontal="center" vertical="center" wrapText="1" readingOrder="1"/>
    </xf>
    <xf numFmtId="0" fontId="33" fillId="2" borderId="1" xfId="0" applyFont="1" applyFill="1" applyBorder="1" applyAlignment="1">
      <alignment horizontal="left" vertical="center" wrapText="1" readingOrder="1"/>
    </xf>
    <xf numFmtId="0" fontId="8" fillId="2" borderId="1" xfId="0" applyFont="1" applyFill="1" applyBorder="1" applyAlignment="1">
      <alignment vertical="center"/>
    </xf>
    <xf numFmtId="0" fontId="34" fillId="0" borderId="0" xfId="0" applyFont="1" applyAlignment="1">
      <alignment vertical="center"/>
    </xf>
    <xf numFmtId="0" fontId="1" fillId="0" borderId="0" xfId="0" applyFont="1"/>
    <xf numFmtId="0" fontId="35" fillId="0" borderId="0" xfId="0" applyFont="1"/>
    <xf numFmtId="0" fontId="36" fillId="0" borderId="0" xfId="0" applyFont="1"/>
    <xf numFmtId="0" fontId="37" fillId="0" borderId="0" xfId="0" applyFont="1"/>
    <xf numFmtId="0" fontId="38" fillId="0" borderId="0" xfId="0" applyFont="1"/>
    <xf numFmtId="0" fontId="41" fillId="2" borderId="1" xfId="0" applyFont="1" applyFill="1" applyBorder="1"/>
    <xf numFmtId="0" fontId="42" fillId="15" borderId="85" xfId="0" applyFont="1" applyFill="1" applyBorder="1" applyAlignment="1">
      <alignment horizontal="center" vertical="center" wrapText="1" readingOrder="1"/>
    </xf>
    <xf numFmtId="0" fontId="42" fillId="15" borderId="86" xfId="0" applyFont="1" applyFill="1" applyBorder="1" applyAlignment="1">
      <alignment horizontal="center" vertical="center" wrapText="1" readingOrder="1"/>
    </xf>
    <xf numFmtId="0" fontId="42" fillId="2" borderId="89" xfId="0" applyFont="1" applyFill="1" applyBorder="1" applyAlignment="1">
      <alignment horizontal="center" vertical="center" wrapText="1" readingOrder="1"/>
    </xf>
    <xf numFmtId="0" fontId="43" fillId="2" borderId="89" xfId="0" applyFont="1" applyFill="1" applyBorder="1" applyAlignment="1">
      <alignment horizontal="left" vertical="center" wrapText="1" readingOrder="1"/>
    </xf>
    <xf numFmtId="9" fontId="42" fillId="2" borderId="90" xfId="0" applyNumberFormat="1" applyFont="1" applyFill="1" applyBorder="1" applyAlignment="1">
      <alignment horizontal="center" vertical="center" wrapText="1" readingOrder="1"/>
    </xf>
    <xf numFmtId="0" fontId="42" fillId="2" borderId="93" xfId="0" applyFont="1" applyFill="1" applyBorder="1" applyAlignment="1">
      <alignment horizontal="center" vertical="center" wrapText="1" readingOrder="1"/>
    </xf>
    <xf numFmtId="0" fontId="43" fillId="2" borderId="93" xfId="0" applyFont="1" applyFill="1" applyBorder="1" applyAlignment="1">
      <alignment horizontal="left" vertical="center" wrapText="1" readingOrder="1"/>
    </xf>
    <xf numFmtId="9" fontId="42" fillId="2" borderId="94" xfId="0" applyNumberFormat="1" applyFont="1" applyFill="1" applyBorder="1" applyAlignment="1">
      <alignment horizontal="center" vertical="center" wrapText="1" readingOrder="1"/>
    </xf>
    <xf numFmtId="0" fontId="43" fillId="2" borderId="94" xfId="0" applyFont="1" applyFill="1" applyBorder="1" applyAlignment="1">
      <alignment horizontal="center" vertical="center" wrapText="1" readingOrder="1"/>
    </xf>
    <xf numFmtId="0" fontId="42" fillId="2" borderId="101" xfId="0" applyFont="1" applyFill="1" applyBorder="1" applyAlignment="1">
      <alignment horizontal="center" vertical="center" wrapText="1" readingOrder="1"/>
    </xf>
    <xf numFmtId="0" fontId="43" fillId="2" borderId="101" xfId="0" applyFont="1" applyFill="1" applyBorder="1" applyAlignment="1">
      <alignment horizontal="left" vertical="center" wrapText="1" readingOrder="1"/>
    </xf>
    <xf numFmtId="0" fontId="43" fillId="2" borderId="102" xfId="0" applyFont="1" applyFill="1" applyBorder="1" applyAlignment="1">
      <alignment horizontal="center" vertical="center" wrapText="1" readingOrder="1"/>
    </xf>
    <xf numFmtId="0" fontId="39" fillId="0" borderId="0" xfId="0" applyFont="1"/>
    <xf numFmtId="0" fontId="45" fillId="0" borderId="80" xfId="0" applyFont="1" applyBorder="1" applyAlignment="1">
      <alignment horizontal="left" vertical="center" wrapText="1" readingOrder="1"/>
    </xf>
    <xf numFmtId="0" fontId="31" fillId="16" borderId="80" xfId="0" applyFont="1" applyFill="1" applyBorder="1" applyAlignment="1">
      <alignment horizontal="center" vertical="center" wrapText="1" readingOrder="1"/>
    </xf>
    <xf numFmtId="0" fontId="31" fillId="16" borderId="80" xfId="0" applyFont="1" applyFill="1" applyBorder="1" applyAlignment="1">
      <alignment horizontal="left" vertical="center" wrapText="1" readingOrder="1"/>
    </xf>
    <xf numFmtId="0" fontId="59" fillId="0" borderId="0" xfId="0" applyFont="1"/>
    <xf numFmtId="0" fontId="54" fillId="0" borderId="0" xfId="0" applyFont="1" applyAlignment="1">
      <alignment horizontal="left" vertical="center" indent="5"/>
    </xf>
    <xf numFmtId="0" fontId="51" fillId="0" borderId="0" xfId="0" applyFont="1" applyAlignment="1">
      <alignment vertical="center"/>
    </xf>
    <xf numFmtId="0" fontId="51" fillId="0" borderId="0" xfId="0" applyFont="1" applyAlignment="1" applyProtection="1">
      <alignment horizontal="center" vertical="center"/>
      <protection locked="0"/>
    </xf>
    <xf numFmtId="0" fontId="51" fillId="2" borderId="1" xfId="0" applyFont="1" applyFill="1" applyBorder="1" applyAlignment="1" applyProtection="1">
      <alignment horizontal="center" vertical="center"/>
      <protection locked="0"/>
    </xf>
    <xf numFmtId="0" fontId="51" fillId="2" borderId="52" xfId="0" applyFont="1" applyFill="1" applyBorder="1" applyAlignment="1" applyProtection="1">
      <alignment horizontal="center" vertical="center"/>
      <protection locked="0"/>
    </xf>
    <xf numFmtId="0" fontId="51" fillId="0" borderId="103" xfId="0" applyFont="1" applyBorder="1" applyAlignment="1" applyProtection="1">
      <alignment horizontal="center" vertical="center"/>
      <protection locked="0"/>
    </xf>
    <xf numFmtId="0" fontId="51" fillId="0" borderId="103" xfId="0" applyFont="1" applyBorder="1" applyAlignment="1" applyProtection="1">
      <alignment horizontal="center" vertical="center" wrapText="1"/>
      <protection locked="0"/>
    </xf>
    <xf numFmtId="0" fontId="51" fillId="0" borderId="103" xfId="0" applyFont="1" applyBorder="1" applyAlignment="1" applyProtection="1">
      <alignment horizontal="center" vertical="center" textRotation="90"/>
      <protection locked="0"/>
    </xf>
    <xf numFmtId="14" fontId="51" fillId="0" borderId="103" xfId="0" applyNumberFormat="1" applyFont="1" applyBorder="1" applyAlignment="1" applyProtection="1">
      <alignment horizontal="center" vertical="center"/>
      <protection locked="0"/>
    </xf>
    <xf numFmtId="0" fontId="51" fillId="0" borderId="103" xfId="0" applyFont="1" applyBorder="1" applyAlignment="1">
      <alignment horizontal="center" vertical="center"/>
    </xf>
    <xf numFmtId="9" fontId="51" fillId="0" borderId="103" xfId="0" applyNumberFormat="1" applyFont="1" applyBorder="1" applyAlignment="1">
      <alignment horizontal="center" vertical="center"/>
    </xf>
    <xf numFmtId="164" fontId="51" fillId="0" borderId="103" xfId="0" applyNumberFormat="1" applyFont="1" applyBorder="1" applyAlignment="1">
      <alignment horizontal="center" vertical="center"/>
    </xf>
    <xf numFmtId="0" fontId="50" fillId="0" borderId="103" xfId="0" applyFont="1" applyBorder="1" applyAlignment="1">
      <alignment horizontal="center" vertical="center" textRotation="90" wrapText="1"/>
    </xf>
    <xf numFmtId="0" fontId="50" fillId="0" borderId="103" xfId="0" applyFont="1" applyBorder="1" applyAlignment="1">
      <alignment horizontal="center" vertical="center" textRotation="90"/>
    </xf>
    <xf numFmtId="0" fontId="52" fillId="0" borderId="103" xfId="0" applyFont="1" applyBorder="1" applyAlignment="1" applyProtection="1">
      <alignment horizontal="center" vertical="center"/>
      <protection locked="0"/>
    </xf>
    <xf numFmtId="0" fontId="62" fillId="2" borderId="52" xfId="0" applyFont="1" applyFill="1" applyBorder="1"/>
    <xf numFmtId="0" fontId="62" fillId="0" borderId="0" xfId="0" applyFont="1"/>
    <xf numFmtId="0" fontId="51" fillId="0" borderId="0" xfId="0" applyFont="1" applyAlignment="1">
      <alignment horizontal="center" vertical="center"/>
    </xf>
    <xf numFmtId="0" fontId="50" fillId="4" borderId="103" xfId="0" applyFont="1" applyFill="1" applyBorder="1" applyAlignment="1">
      <alignment horizontal="center" vertical="center" textRotation="90"/>
    </xf>
    <xf numFmtId="0" fontId="50" fillId="0" borderId="0" xfId="0" applyFont="1" applyAlignment="1" applyProtection="1">
      <alignment horizontal="left" vertical="center"/>
      <protection locked="0"/>
    </xf>
    <xf numFmtId="0" fontId="63" fillId="0" borderId="121" xfId="0" applyFont="1" applyBorder="1" applyAlignment="1" applyProtection="1">
      <alignment horizontal="center" vertical="center" textRotation="90"/>
      <protection locked="0"/>
    </xf>
    <xf numFmtId="0" fontId="51" fillId="0" borderId="124" xfId="0" applyFont="1" applyBorder="1" applyAlignment="1" applyProtection="1">
      <alignment horizontal="center" vertical="center"/>
      <protection locked="0"/>
    </xf>
    <xf numFmtId="0" fontId="63" fillId="0" borderId="121" xfId="0" applyFont="1" applyBorder="1" applyAlignment="1">
      <alignment horizontal="center" vertical="center" textRotation="90"/>
    </xf>
    <xf numFmtId="0" fontId="51" fillId="0" borderId="123" xfId="0" applyFont="1" applyBorder="1" applyAlignment="1" applyProtection="1">
      <alignment vertical="center" wrapText="1"/>
      <protection locked="0"/>
    </xf>
    <xf numFmtId="9" fontId="51" fillId="0" borderId="123" xfId="0" applyNumberFormat="1" applyFont="1" applyBorder="1" applyAlignment="1" applyProtection="1">
      <alignment vertical="center" wrapText="1"/>
      <protection locked="0"/>
    </xf>
    <xf numFmtId="9" fontId="51" fillId="0" borderId="123" xfId="0" applyNumberFormat="1" applyFont="1" applyBorder="1" applyAlignment="1">
      <alignment vertical="center" wrapText="1"/>
    </xf>
    <xf numFmtId="0" fontId="50" fillId="0" borderId="123" xfId="0" applyFont="1" applyBorder="1" applyAlignment="1">
      <alignment vertical="center" wrapText="1"/>
    </xf>
    <xf numFmtId="0" fontId="50" fillId="0" borderId="123" xfId="0" applyFont="1" applyBorder="1" applyAlignment="1">
      <alignment vertical="center"/>
    </xf>
    <xf numFmtId="0" fontId="51" fillId="0" borderId="123" xfId="0" applyFont="1" applyBorder="1" applyAlignment="1" applyProtection="1">
      <alignment vertical="center"/>
      <protection locked="0"/>
    </xf>
    <xf numFmtId="0" fontId="65" fillId="0" borderId="129" xfId="0" applyFont="1" applyBorder="1" applyAlignment="1" applyProtection="1">
      <alignment horizontal="left" vertical="center" wrapText="1"/>
      <protection locked="0"/>
    </xf>
    <xf numFmtId="0" fontId="51" fillId="0" borderId="129" xfId="0" applyFont="1" applyBorder="1" applyAlignment="1" applyProtection="1">
      <alignment horizontal="center" vertical="center" textRotation="90"/>
      <protection locked="0"/>
    </xf>
    <xf numFmtId="0" fontId="51" fillId="0" borderId="103" xfId="0" applyFont="1" applyBorder="1" applyAlignment="1" applyProtection="1">
      <alignment horizontal="center" vertical="center" wrapText="1"/>
      <protection locked="0"/>
    </xf>
    <xf numFmtId="0" fontId="51" fillId="0" borderId="103" xfId="0" applyFont="1" applyBorder="1" applyAlignment="1" applyProtection="1">
      <alignment horizontal="center" vertical="center"/>
      <protection locked="0"/>
    </xf>
    <xf numFmtId="0" fontId="63" fillId="0" borderId="52" xfId="0" applyFont="1" applyBorder="1" applyAlignment="1">
      <alignment horizontal="center" vertical="center" textRotation="90" wrapText="1"/>
    </xf>
    <xf numFmtId="0" fontId="63" fillId="0" borderId="120" xfId="0" applyFont="1" applyBorder="1" applyAlignment="1">
      <alignment horizontal="center" vertical="center" textRotation="90"/>
    </xf>
    <xf numFmtId="0" fontId="63" fillId="0" borderId="121" xfId="0" applyFont="1" applyBorder="1" applyAlignment="1">
      <alignment horizontal="center" vertical="center" textRotation="90"/>
    </xf>
    <xf numFmtId="0" fontId="63" fillId="0" borderId="122" xfId="0" applyFont="1" applyBorder="1" applyAlignment="1">
      <alignment horizontal="center" vertical="center" textRotation="90"/>
    </xf>
    <xf numFmtId="0" fontId="50" fillId="4" borderId="123" xfId="0" applyFont="1" applyFill="1" applyBorder="1" applyAlignment="1">
      <alignment horizontal="center" vertical="center" textRotation="90" wrapText="1"/>
    </xf>
    <xf numFmtId="0" fontId="50" fillId="4" borderId="124" xfId="0" applyFont="1" applyFill="1" applyBorder="1" applyAlignment="1">
      <alignment horizontal="center" vertical="center" textRotation="90" wrapText="1"/>
    </xf>
    <xf numFmtId="0" fontId="63" fillId="0" borderId="130" xfId="0" applyFont="1" applyBorder="1" applyAlignment="1">
      <alignment horizontal="center" vertical="center" textRotation="90"/>
    </xf>
    <xf numFmtId="0" fontId="63" fillId="0" borderId="125" xfId="0" applyFont="1" applyBorder="1" applyAlignment="1">
      <alignment horizontal="center" vertical="center" textRotation="90"/>
    </xf>
    <xf numFmtId="0" fontId="63" fillId="0" borderId="131" xfId="0" applyFont="1" applyBorder="1" applyAlignment="1">
      <alignment horizontal="center" vertical="center" textRotation="90"/>
    </xf>
    <xf numFmtId="0" fontId="51" fillId="0" borderId="103" xfId="0" applyFont="1" applyBorder="1" applyAlignment="1">
      <alignment horizontal="center" vertical="center" wrapText="1"/>
    </xf>
    <xf numFmtId="0" fontId="50" fillId="0" borderId="103" xfId="0" applyFont="1" applyBorder="1" applyAlignment="1">
      <alignment horizontal="center" vertical="center" wrapText="1"/>
    </xf>
    <xf numFmtId="0" fontId="52" fillId="0" borderId="103" xfId="0" applyFont="1" applyBorder="1" applyAlignment="1">
      <alignment horizontal="center" vertical="center"/>
    </xf>
    <xf numFmtId="9" fontId="51" fillId="0" borderId="103" xfId="0" applyNumberFormat="1" applyFont="1" applyBorder="1" applyAlignment="1">
      <alignment horizontal="center" vertical="center" wrapText="1"/>
    </xf>
    <xf numFmtId="0" fontId="50" fillId="0" borderId="103" xfId="0" applyFont="1" applyBorder="1" applyAlignment="1">
      <alignment horizontal="center" vertical="center"/>
    </xf>
    <xf numFmtId="9" fontId="51" fillId="0" borderId="103" xfId="0" applyNumberFormat="1" applyFont="1" applyBorder="1" applyAlignment="1" applyProtection="1">
      <alignment horizontal="center" vertical="center" wrapText="1"/>
      <protection locked="0"/>
    </xf>
    <xf numFmtId="0" fontId="52" fillId="0" borderId="103" xfId="0" applyFont="1" applyBorder="1" applyAlignment="1" applyProtection="1">
      <alignment horizontal="center" vertical="center"/>
      <protection locked="0"/>
    </xf>
    <xf numFmtId="0" fontId="51" fillId="0" borderId="123" xfId="0" applyFont="1" applyBorder="1" applyAlignment="1" applyProtection="1">
      <alignment horizontal="center" vertical="center" textRotation="90"/>
      <protection locked="0"/>
    </xf>
    <xf numFmtId="0" fontId="51" fillId="0" borderId="125" xfId="0" applyFont="1" applyBorder="1" applyAlignment="1" applyProtection="1">
      <alignment horizontal="center" vertical="center" textRotation="90"/>
      <protection locked="0"/>
    </xf>
    <xf numFmtId="0" fontId="51" fillId="0" borderId="124" xfId="0" applyFont="1" applyBorder="1" applyAlignment="1" applyProtection="1">
      <alignment horizontal="center" vertical="center" textRotation="90"/>
      <protection locked="0"/>
    </xf>
    <xf numFmtId="0" fontId="50" fillId="4" borderId="103" xfId="0" applyFont="1" applyFill="1" applyBorder="1" applyAlignment="1">
      <alignment horizontal="center" vertical="center"/>
    </xf>
    <xf numFmtId="0" fontId="50" fillId="4" borderId="103" xfId="0" applyFont="1" applyFill="1" applyBorder="1" applyAlignment="1">
      <alignment horizontal="center" vertical="center" wrapText="1"/>
    </xf>
    <xf numFmtId="0" fontId="50" fillId="4" borderId="103" xfId="0" applyFont="1" applyFill="1" applyBorder="1" applyAlignment="1">
      <alignment horizontal="center" vertical="center" textRotation="90" wrapText="1"/>
    </xf>
    <xf numFmtId="0" fontId="51" fillId="0" borderId="103" xfId="0" applyFont="1" applyBorder="1" applyAlignment="1" applyProtection="1">
      <alignment horizontal="center" vertical="center" wrapText="1"/>
      <protection locked="0"/>
    </xf>
    <xf numFmtId="0" fontId="51" fillId="0" borderId="103" xfId="0" applyFont="1" applyBorder="1" applyAlignment="1" applyProtection="1">
      <alignment horizontal="center" vertical="center"/>
      <protection locked="0"/>
    </xf>
    <xf numFmtId="0" fontId="51" fillId="0" borderId="123" xfId="0" applyFont="1" applyBorder="1" applyAlignment="1" applyProtection="1">
      <alignment horizontal="center" vertical="center" wrapText="1"/>
      <protection locked="0"/>
    </xf>
    <xf numFmtId="0" fontId="51" fillId="0" borderId="125" xfId="0" applyFont="1" applyBorder="1" applyAlignment="1" applyProtection="1">
      <alignment horizontal="center" vertical="center" wrapText="1"/>
      <protection locked="0"/>
    </xf>
    <xf numFmtId="0" fontId="51" fillId="0" borderId="124" xfId="0" applyFont="1" applyBorder="1" applyAlignment="1" applyProtection="1">
      <alignment horizontal="center" vertical="center" wrapText="1"/>
      <protection locked="0"/>
    </xf>
    <xf numFmtId="0" fontId="51" fillId="0" borderId="123" xfId="0" applyFont="1" applyBorder="1" applyAlignment="1" applyProtection="1">
      <alignment horizontal="center" vertical="center"/>
      <protection locked="0"/>
    </xf>
    <xf numFmtId="0" fontId="51" fillId="0" borderId="125" xfId="0" applyFont="1" applyBorder="1" applyAlignment="1" applyProtection="1">
      <alignment horizontal="center" vertical="center"/>
      <protection locked="0"/>
    </xf>
    <xf numFmtId="0" fontId="51" fillId="0" borderId="124" xfId="0" applyFont="1" applyBorder="1" applyAlignment="1" applyProtection="1">
      <alignment horizontal="center" vertical="center"/>
      <protection locked="0"/>
    </xf>
    <xf numFmtId="0" fontId="50" fillId="0" borderId="123" xfId="0" applyFont="1" applyBorder="1" applyAlignment="1">
      <alignment horizontal="center" vertical="center" wrapText="1"/>
    </xf>
    <xf numFmtId="0" fontId="50" fillId="0" borderId="125" xfId="0" applyFont="1" applyBorder="1" applyAlignment="1">
      <alignment horizontal="center" vertical="center" wrapText="1"/>
    </xf>
    <xf numFmtId="0" fontId="50" fillId="0" borderId="124" xfId="0" applyFont="1" applyBorder="1" applyAlignment="1">
      <alignment horizontal="center" vertical="center" wrapText="1"/>
    </xf>
    <xf numFmtId="9" fontId="51" fillId="0" borderId="123" xfId="0" applyNumberFormat="1" applyFont="1" applyBorder="1" applyAlignment="1">
      <alignment horizontal="center" vertical="center" wrapText="1"/>
    </xf>
    <xf numFmtId="9" fontId="51" fillId="0" borderId="125" xfId="0" applyNumberFormat="1" applyFont="1" applyBorder="1" applyAlignment="1">
      <alignment horizontal="center" vertical="center" wrapText="1"/>
    </xf>
    <xf numFmtId="9" fontId="51" fillId="0" borderId="124" xfId="0" applyNumberFormat="1" applyFont="1" applyBorder="1" applyAlignment="1">
      <alignment horizontal="center" vertical="center" wrapText="1"/>
    </xf>
    <xf numFmtId="0" fontId="50" fillId="4" borderId="103" xfId="0" applyFont="1" applyFill="1" applyBorder="1" applyAlignment="1">
      <alignment horizontal="left" vertical="center"/>
    </xf>
    <xf numFmtId="0" fontId="52" fillId="0" borderId="103" xfId="0" applyFont="1" applyBorder="1" applyAlignment="1">
      <alignment horizontal="left" vertical="center"/>
    </xf>
    <xf numFmtId="0" fontId="64" fillId="2" borderId="126" xfId="0" applyFont="1" applyFill="1" applyBorder="1" applyAlignment="1" applyProtection="1">
      <alignment horizontal="left" vertical="center"/>
      <protection locked="0"/>
    </xf>
    <xf numFmtId="0" fontId="52" fillId="0" borderId="127" xfId="0" applyFont="1" applyBorder="1" applyProtection="1">
      <protection locked="0"/>
    </xf>
    <xf numFmtId="0" fontId="52" fillId="0" borderId="128" xfId="0" applyFont="1" applyBorder="1" applyProtection="1">
      <protection locked="0"/>
    </xf>
    <xf numFmtId="0" fontId="51" fillId="2" borderId="43" xfId="0" applyFont="1" applyFill="1" applyBorder="1" applyAlignment="1" applyProtection="1">
      <alignment horizontal="center" vertical="center"/>
      <protection locked="0"/>
    </xf>
    <xf numFmtId="0" fontId="52" fillId="0" borderId="38" xfId="0" applyFont="1" applyBorder="1" applyAlignment="1" applyProtection="1">
      <alignment horizontal="center" vertical="center"/>
      <protection locked="0"/>
    </xf>
    <xf numFmtId="0" fontId="52" fillId="0" borderId="44" xfId="0" applyFont="1" applyBorder="1" applyAlignment="1" applyProtection="1">
      <alignment horizontal="center" vertical="center"/>
      <protection locked="0"/>
    </xf>
    <xf numFmtId="0" fontId="64" fillId="2" borderId="126" xfId="0" applyFont="1" applyFill="1" applyBorder="1" applyAlignment="1" applyProtection="1">
      <alignment horizontal="left" vertical="center" wrapText="1"/>
      <protection locked="0"/>
    </xf>
    <xf numFmtId="0" fontId="50" fillId="4" borderId="103" xfId="0" applyFont="1" applyFill="1" applyBorder="1" applyAlignment="1">
      <alignment horizontal="center" vertical="center" textRotation="90"/>
    </xf>
    <xf numFmtId="0" fontId="50" fillId="0" borderId="123" xfId="0" applyFont="1" applyBorder="1" applyAlignment="1">
      <alignment horizontal="center" vertical="center"/>
    </xf>
    <xf numFmtId="0" fontId="50" fillId="0" borderId="125" xfId="0" applyFont="1" applyBorder="1" applyAlignment="1">
      <alignment horizontal="center" vertical="center"/>
    </xf>
    <xf numFmtId="0" fontId="50" fillId="0" borderId="124" xfId="0" applyFont="1" applyBorder="1" applyAlignment="1">
      <alignment horizontal="center" vertical="center"/>
    </xf>
    <xf numFmtId="9" fontId="51" fillId="0" borderId="123" xfId="0" applyNumberFormat="1" applyFont="1" applyBorder="1" applyAlignment="1" applyProtection="1">
      <alignment horizontal="center" vertical="center" wrapText="1"/>
      <protection locked="0"/>
    </xf>
    <xf numFmtId="9" fontId="51" fillId="0" borderId="125" xfId="0" applyNumberFormat="1" applyFont="1" applyBorder="1" applyAlignment="1" applyProtection="1">
      <alignment horizontal="center" vertical="center" wrapText="1"/>
      <protection locked="0"/>
    </xf>
    <xf numFmtId="9" fontId="51" fillId="0" borderId="124" xfId="0" applyNumberFormat="1" applyFont="1" applyBorder="1" applyAlignment="1" applyProtection="1">
      <alignment horizontal="center" vertical="center" wrapText="1"/>
      <protection locked="0"/>
    </xf>
    <xf numFmtId="0" fontId="51" fillId="0" borderId="107" xfId="0" applyFont="1" applyBorder="1" applyAlignment="1">
      <alignment horizontal="center" vertical="center"/>
    </xf>
    <xf numFmtId="0" fontId="51" fillId="0" borderId="106" xfId="0" applyFont="1" applyBorder="1" applyAlignment="1">
      <alignment horizontal="center" vertical="center"/>
    </xf>
    <xf numFmtId="0" fontId="51" fillId="0" borderId="108" xfId="0" applyFont="1" applyBorder="1" applyAlignment="1">
      <alignment horizontal="center" vertical="center"/>
    </xf>
    <xf numFmtId="0" fontId="51" fillId="0" borderId="112" xfId="0" applyFont="1" applyBorder="1" applyAlignment="1">
      <alignment horizontal="center" vertical="center"/>
    </xf>
    <xf numFmtId="0" fontId="51" fillId="0" borderId="52" xfId="0" applyFont="1" applyBorder="1" applyAlignment="1">
      <alignment horizontal="center" vertical="center"/>
    </xf>
    <xf numFmtId="0" fontId="51" fillId="0" borderId="113" xfId="0" applyFont="1" applyBorder="1" applyAlignment="1">
      <alignment horizontal="center" vertical="center"/>
    </xf>
    <xf numFmtId="0" fontId="51" fillId="0" borderId="109" xfId="0" applyFont="1" applyBorder="1" applyAlignment="1">
      <alignment horizontal="center" vertical="center"/>
    </xf>
    <xf numFmtId="0" fontId="51" fillId="0" borderId="110" xfId="0" applyFont="1" applyBorder="1" applyAlignment="1">
      <alignment horizontal="center" vertical="center"/>
    </xf>
    <xf numFmtId="0" fontId="51" fillId="0" borderId="111" xfId="0" applyFont="1" applyBorder="1" applyAlignment="1">
      <alignment horizontal="center" vertical="center"/>
    </xf>
    <xf numFmtId="0" fontId="57" fillId="0" borderId="104" xfId="0" applyFont="1" applyBorder="1" applyAlignment="1">
      <alignment horizontal="center" vertical="center"/>
    </xf>
    <xf numFmtId="0" fontId="57" fillId="0" borderId="105" xfId="0" applyFont="1" applyBorder="1" applyAlignment="1">
      <alignment horizontal="center" vertical="center"/>
    </xf>
    <xf numFmtId="0" fontId="58" fillId="0" borderId="106" xfId="0" applyFont="1" applyBorder="1" applyAlignment="1">
      <alignment horizontal="left" vertical="center"/>
    </xf>
    <xf numFmtId="0" fontId="58" fillId="0" borderId="108" xfId="0" applyFont="1" applyBorder="1" applyAlignment="1">
      <alignment horizontal="left" vertical="center"/>
    </xf>
    <xf numFmtId="0" fontId="57" fillId="0" borderId="110" xfId="0" applyFont="1" applyBorder="1" applyAlignment="1">
      <alignment horizontal="center" vertical="center"/>
    </xf>
    <xf numFmtId="0" fontId="57" fillId="0" borderId="52" xfId="0" applyFont="1" applyBorder="1" applyAlignment="1">
      <alignment horizontal="center" vertical="center"/>
    </xf>
    <xf numFmtId="0" fontId="57" fillId="0" borderId="111" xfId="0" applyFont="1" applyBorder="1" applyAlignment="1">
      <alignment horizontal="center" vertical="center"/>
    </xf>
    <xf numFmtId="0" fontId="56" fillId="0" borderId="107" xfId="0" applyFont="1" applyBorder="1" applyAlignment="1">
      <alignment horizontal="center" vertical="center"/>
    </xf>
    <xf numFmtId="0" fontId="56" fillId="0" borderId="106" xfId="0" applyFont="1" applyBorder="1" applyAlignment="1">
      <alignment horizontal="center" vertical="center"/>
    </xf>
    <xf numFmtId="15" fontId="60" fillId="0" borderId="109" xfId="0" applyNumberFormat="1" applyFont="1" applyBorder="1" applyAlignment="1">
      <alignment horizontal="center" vertical="center"/>
    </xf>
    <xf numFmtId="0" fontId="60" fillId="0" borderId="110" xfId="0" applyFont="1" applyBorder="1" applyAlignment="1">
      <alignment horizontal="center" vertical="center"/>
    </xf>
    <xf numFmtId="0" fontId="56" fillId="0" borderId="108" xfId="0" applyFont="1" applyBorder="1" applyAlignment="1">
      <alignment horizontal="center" vertical="center"/>
    </xf>
    <xf numFmtId="49" fontId="60" fillId="0" borderId="109" xfId="0" applyNumberFormat="1" applyFont="1" applyBorder="1" applyAlignment="1">
      <alignment horizontal="center" vertical="center"/>
    </xf>
    <xf numFmtId="49" fontId="60" fillId="0" borderId="110" xfId="0" applyNumberFormat="1" applyFont="1" applyBorder="1" applyAlignment="1">
      <alignment horizontal="center" vertical="center"/>
    </xf>
    <xf numFmtId="49" fontId="60" fillId="0" borderId="111" xfId="0" applyNumberFormat="1" applyFont="1" applyBorder="1" applyAlignment="1">
      <alignment horizontal="center" vertical="center"/>
    </xf>
    <xf numFmtId="0" fontId="60" fillId="0" borderId="111" xfId="0" applyFont="1" applyBorder="1" applyAlignment="1">
      <alignment horizontal="center" vertical="center"/>
    </xf>
    <xf numFmtId="0" fontId="60" fillId="0" borderId="109" xfId="0" applyFont="1" applyBorder="1" applyAlignment="1">
      <alignment horizontal="center" vertical="center"/>
    </xf>
    <xf numFmtId="0" fontId="4" fillId="2" borderId="37" xfId="0" applyFont="1" applyFill="1" applyBorder="1" applyAlignment="1">
      <alignment horizontal="left" vertical="top" wrapText="1"/>
    </xf>
    <xf numFmtId="0" fontId="3" fillId="0" borderId="38" xfId="0" applyFont="1" applyBorder="1"/>
    <xf numFmtId="0" fontId="3" fillId="0" borderId="39" xfId="0" applyFont="1" applyBorder="1"/>
    <xf numFmtId="0" fontId="11" fillId="2" borderId="31" xfId="0" applyFont="1" applyFill="1" applyBorder="1" applyAlignment="1">
      <alignment horizontal="left" vertical="center" wrapText="1"/>
    </xf>
    <xf numFmtId="0" fontId="3" fillId="0" borderId="32" xfId="0" applyFont="1" applyBorder="1"/>
    <xf numFmtId="0" fontId="11" fillId="2" borderId="35" xfId="0" applyFont="1" applyFill="1" applyBorder="1" applyAlignment="1">
      <alignment horizontal="left" vertical="center" wrapText="1"/>
    </xf>
    <xf numFmtId="0" fontId="3" fillId="0" borderId="36" xfId="0" applyFont="1" applyBorder="1"/>
    <xf numFmtId="0" fontId="10" fillId="2" borderId="29" xfId="0" applyFont="1" applyFill="1" applyBorder="1" applyAlignment="1">
      <alignment horizontal="left" vertical="center" wrapText="1"/>
    </xf>
    <xf numFmtId="0" fontId="3" fillId="0" borderId="30" xfId="0" applyFont="1" applyBorder="1"/>
    <xf numFmtId="0" fontId="10" fillId="2" borderId="33" xfId="0" applyFont="1" applyFill="1" applyBorder="1" applyAlignment="1">
      <alignment horizontal="left" vertical="center" wrapText="1"/>
    </xf>
    <xf numFmtId="0" fontId="3" fillId="0" borderId="34" xfId="0" applyFont="1" applyBorder="1"/>
    <xf numFmtId="0" fontId="10" fillId="2" borderId="25" xfId="0" applyFont="1" applyFill="1" applyBorder="1" applyAlignment="1">
      <alignment horizontal="left" vertical="top" wrapText="1" readingOrder="1"/>
    </xf>
    <xf numFmtId="0" fontId="3" fillId="0" borderId="26" xfId="0" applyFont="1" applyBorder="1"/>
    <xf numFmtId="0" fontId="11" fillId="2" borderId="27" xfId="0" applyFont="1" applyFill="1" applyBorder="1" applyAlignment="1">
      <alignment horizontal="left" vertical="center" wrapText="1"/>
    </xf>
    <xf numFmtId="0" fontId="3" fillId="0" borderId="28" xfId="0" applyFont="1" applyBorder="1"/>
    <xf numFmtId="0" fontId="10" fillId="3" borderId="21" xfId="0" applyFont="1" applyFill="1" applyBorder="1" applyAlignment="1">
      <alignment horizontal="center" vertical="center" wrapText="1"/>
    </xf>
    <xf numFmtId="0" fontId="3" fillId="0" borderId="22" xfId="0" applyFont="1" applyBorder="1"/>
    <xf numFmtId="0" fontId="10" fillId="3" borderId="23" xfId="0" applyFont="1" applyFill="1" applyBorder="1" applyAlignment="1">
      <alignment horizontal="center" vertical="center"/>
    </xf>
    <xf numFmtId="0" fontId="3" fillId="0" borderId="24" xfId="0" applyFont="1" applyBorder="1"/>
    <xf numFmtId="0" fontId="2" fillId="3" borderId="2" xfId="0" applyFont="1" applyFill="1" applyBorder="1" applyAlignment="1">
      <alignment horizontal="center" vertical="center" wrapText="1"/>
    </xf>
    <xf numFmtId="0" fontId="3" fillId="0" borderId="3" xfId="0" applyFont="1" applyBorder="1"/>
    <xf numFmtId="0" fontId="3" fillId="0" borderId="4" xfId="0" applyFont="1" applyBorder="1"/>
    <xf numFmtId="0" fontId="4" fillId="0" borderId="8" xfId="0" applyFont="1" applyBorder="1" applyAlignment="1">
      <alignment horizontal="left" vertical="center" wrapText="1"/>
    </xf>
    <xf numFmtId="0" fontId="0" fillId="0" borderId="0" xfId="0"/>
    <xf numFmtId="0" fontId="3" fillId="0" borderId="9" xfId="0" applyFont="1" applyBorder="1"/>
    <xf numFmtId="0" fontId="3" fillId="0" borderId="10" xfId="0" applyFont="1" applyBorder="1"/>
    <xf numFmtId="0" fontId="3" fillId="0" borderId="11" xfId="0" applyFont="1" applyBorder="1"/>
    <xf numFmtId="0" fontId="3" fillId="0" borderId="12" xfId="0" applyFont="1" applyBorder="1"/>
    <xf numFmtId="0" fontId="5" fillId="2" borderId="13" xfId="0" quotePrefix="1" applyFont="1" applyFill="1" applyBorder="1" applyAlignment="1">
      <alignment horizontal="left" vertical="top" wrapText="1"/>
    </xf>
    <xf numFmtId="0" fontId="3" fillId="0" borderId="14" xfId="0" applyFont="1" applyBorder="1"/>
    <xf numFmtId="0" fontId="3" fillId="0" borderId="15" xfId="0" applyFont="1" applyBorder="1"/>
    <xf numFmtId="0" fontId="6" fillId="2" borderId="16" xfId="0" applyFont="1" applyFill="1" applyBorder="1" applyAlignment="1">
      <alignment horizontal="left" vertical="center" wrapText="1"/>
    </xf>
    <xf numFmtId="0" fontId="3" fillId="0" borderId="17" xfId="0" applyFont="1" applyBorder="1"/>
    <xf numFmtId="0" fontId="3" fillId="0" borderId="18" xfId="0" applyFont="1" applyBorder="1"/>
    <xf numFmtId="0" fontId="4" fillId="0" borderId="8" xfId="0" applyFont="1" applyBorder="1" applyAlignment="1">
      <alignment horizontal="left" vertical="top" wrapText="1"/>
    </xf>
    <xf numFmtId="0" fontId="3" fillId="0" borderId="8" xfId="0" applyFont="1" applyBorder="1"/>
    <xf numFmtId="0" fontId="16" fillId="9" borderId="45" xfId="0" applyFont="1" applyFill="1" applyBorder="1" applyAlignment="1">
      <alignment horizontal="center" wrapText="1" readingOrder="1"/>
    </xf>
    <xf numFmtId="0" fontId="3" fillId="0" borderId="53" xfId="0" applyFont="1" applyBorder="1"/>
    <xf numFmtId="0" fontId="3" fillId="0" borderId="50" xfId="0" applyFont="1" applyBorder="1"/>
    <xf numFmtId="0" fontId="3" fillId="0" borderId="63" xfId="0" applyFont="1" applyBorder="1"/>
    <xf numFmtId="0" fontId="16" fillId="9" borderId="58" xfId="0" applyFont="1" applyFill="1" applyBorder="1" applyAlignment="1">
      <alignment horizontal="center" wrapText="1" readingOrder="1"/>
    </xf>
    <xf numFmtId="0" fontId="3" fillId="0" borderId="57" xfId="0" applyFont="1" applyBorder="1"/>
    <xf numFmtId="0" fontId="3" fillId="0" borderId="52" xfId="0" applyFont="1" applyBorder="1"/>
    <xf numFmtId="0" fontId="3" fillId="0" borderId="56" xfId="0" applyFont="1" applyBorder="1"/>
    <xf numFmtId="0" fontId="16" fillId="7" borderId="54" xfId="0" applyFont="1" applyFill="1" applyBorder="1" applyAlignment="1">
      <alignment horizontal="center" vertical="center" wrapText="1" readingOrder="1"/>
    </xf>
    <xf numFmtId="0" fontId="3" fillId="0" borderId="62" xfId="0" applyFont="1" applyBorder="1"/>
    <xf numFmtId="0" fontId="16" fillId="7" borderId="58" xfId="0" applyFont="1" applyFill="1" applyBorder="1" applyAlignment="1">
      <alignment horizontal="center" vertical="center" wrapText="1" readingOrder="1"/>
    </xf>
    <xf numFmtId="0" fontId="16" fillId="8" borderId="58" xfId="0" applyFont="1" applyFill="1" applyBorder="1" applyAlignment="1">
      <alignment horizontal="center" wrapText="1" readingOrder="1"/>
    </xf>
    <xf numFmtId="0" fontId="16" fillId="10" borderId="45" xfId="0" applyFont="1" applyFill="1" applyBorder="1" applyAlignment="1">
      <alignment horizontal="center" wrapText="1" readingOrder="1"/>
    </xf>
    <xf numFmtId="0" fontId="3" fillId="0" borderId="47" xfId="0" applyFont="1" applyBorder="1"/>
    <xf numFmtId="0" fontId="16" fillId="9" borderId="66" xfId="0" applyFont="1" applyFill="1" applyBorder="1" applyAlignment="1">
      <alignment horizontal="center" wrapText="1" readingOrder="1"/>
    </xf>
    <xf numFmtId="0" fontId="16" fillId="7" borderId="66" xfId="0" applyFont="1" applyFill="1" applyBorder="1" applyAlignment="1">
      <alignment horizontal="center" vertical="center" wrapText="1" readingOrder="1"/>
    </xf>
    <xf numFmtId="0" fontId="16" fillId="7" borderId="45" xfId="0" applyFont="1" applyFill="1" applyBorder="1" applyAlignment="1">
      <alignment horizontal="center" vertical="center" wrapText="1" readingOrder="1"/>
    </xf>
    <xf numFmtId="0" fontId="16" fillId="8" borderId="66" xfId="0" applyFont="1" applyFill="1" applyBorder="1" applyAlignment="1">
      <alignment horizontal="center" wrapText="1" readingOrder="1"/>
    </xf>
    <xf numFmtId="0" fontId="16" fillId="8" borderId="45" xfId="0" applyFont="1" applyFill="1" applyBorder="1" applyAlignment="1">
      <alignment horizontal="center" wrapText="1" readingOrder="1"/>
    </xf>
    <xf numFmtId="0" fontId="16" fillId="9" borderId="54" xfId="0" applyFont="1" applyFill="1" applyBorder="1" applyAlignment="1">
      <alignment horizontal="center" wrapText="1" readingOrder="1"/>
    </xf>
    <xf numFmtId="0" fontId="15" fillId="0" borderId="54" xfId="0" applyFont="1" applyBorder="1" applyAlignment="1">
      <alignment horizontal="center" vertical="center" wrapText="1"/>
    </xf>
    <xf numFmtId="0" fontId="3" fillId="0" borderId="55" xfId="0" applyFont="1" applyBorder="1"/>
    <xf numFmtId="0" fontId="3" fillId="0" borderId="67" xfId="0" applyFont="1" applyBorder="1"/>
    <xf numFmtId="0" fontId="3" fillId="0" borderId="68" xfId="0" applyFont="1" applyBorder="1"/>
    <xf numFmtId="0" fontId="3" fillId="0" borderId="70" xfId="0" applyFont="1" applyBorder="1"/>
    <xf numFmtId="0" fontId="3" fillId="0" borderId="71" xfId="0" applyFont="1" applyBorder="1"/>
    <xf numFmtId="0" fontId="3" fillId="0" borderId="69" xfId="0" applyFont="1" applyBorder="1"/>
    <xf numFmtId="0" fontId="16" fillId="8" borderId="54" xfId="0" applyFont="1" applyFill="1" applyBorder="1" applyAlignment="1">
      <alignment horizontal="center" wrapText="1" readingOrder="1"/>
    </xf>
    <xf numFmtId="0" fontId="16" fillId="10" borderId="66" xfId="0" applyFont="1" applyFill="1" applyBorder="1" applyAlignment="1">
      <alignment horizontal="center" wrapText="1" readingOrder="1"/>
    </xf>
    <xf numFmtId="0" fontId="12" fillId="0" borderId="0" xfId="0" applyFont="1" applyAlignment="1">
      <alignment horizontal="center" vertical="center" wrapText="1"/>
    </xf>
    <xf numFmtId="0" fontId="14" fillId="6" borderId="45" xfId="0" applyFont="1" applyFill="1" applyBorder="1" applyAlignment="1">
      <alignment horizontal="center" vertical="center" wrapText="1" readingOrder="1"/>
    </xf>
    <xf numFmtId="0" fontId="3" fillId="0" borderId="46" xfId="0" applyFont="1" applyBorder="1"/>
    <xf numFmtId="0" fontId="3" fillId="0" borderId="48" xfId="0" applyFont="1" applyBorder="1"/>
    <xf numFmtId="0" fontId="3" fillId="0" borderId="49" xfId="0" applyFont="1" applyBorder="1"/>
    <xf numFmtId="0" fontId="3" fillId="0" borderId="51" xfId="0" applyFont="1" applyBorder="1"/>
    <xf numFmtId="0" fontId="14" fillId="6" borderId="45" xfId="0" applyFont="1" applyFill="1" applyBorder="1" applyAlignment="1">
      <alignment horizontal="center" vertical="center" textRotation="90" wrapText="1" readingOrder="1"/>
    </xf>
    <xf numFmtId="0" fontId="16" fillId="10" borderId="58" xfId="0" applyFont="1" applyFill="1" applyBorder="1" applyAlignment="1">
      <alignment horizontal="center" wrapText="1" readingOrder="1"/>
    </xf>
    <xf numFmtId="0" fontId="16" fillId="10" borderId="54" xfId="0" applyFont="1" applyFill="1" applyBorder="1" applyAlignment="1">
      <alignment horizontal="center" wrapText="1" readingOrder="1"/>
    </xf>
    <xf numFmtId="0" fontId="17" fillId="8" borderId="59" xfId="0" applyFont="1" applyFill="1" applyBorder="1" applyAlignment="1">
      <alignment horizontal="center" vertical="center" wrapText="1" readingOrder="1"/>
    </xf>
    <xf numFmtId="0" fontId="3" fillId="0" borderId="60" xfId="0" applyFont="1" applyBorder="1"/>
    <xf numFmtId="0" fontId="3" fillId="0" borderId="61" xfId="0" applyFont="1" applyBorder="1"/>
    <xf numFmtId="0" fontId="3" fillId="0" borderId="64" xfId="0" applyFont="1" applyBorder="1"/>
    <xf numFmtId="0" fontId="3" fillId="0" borderId="65" xfId="0" applyFont="1" applyBorder="1"/>
    <xf numFmtId="0" fontId="3" fillId="0" borderId="72" xfId="0" applyFont="1" applyBorder="1"/>
    <xf numFmtId="0" fontId="3" fillId="0" borderId="73" xfId="0" applyFont="1" applyBorder="1"/>
    <xf numFmtId="0" fontId="3" fillId="0" borderId="74" xfId="0" applyFont="1" applyBorder="1"/>
    <xf numFmtId="0" fontId="17" fillId="10" borderId="59" xfId="0" applyFont="1" applyFill="1" applyBorder="1" applyAlignment="1">
      <alignment horizontal="center" vertical="center" wrapText="1" readingOrder="1"/>
    </xf>
    <xf numFmtId="0" fontId="17" fillId="7" borderId="59" xfId="0" applyFont="1" applyFill="1" applyBorder="1" applyAlignment="1">
      <alignment horizontal="center" vertical="center" wrapText="1" readingOrder="1"/>
    </xf>
    <xf numFmtId="0" fontId="17" fillId="9" borderId="59" xfId="0" applyFont="1" applyFill="1" applyBorder="1" applyAlignment="1">
      <alignment horizontal="center" vertical="center" wrapText="1" readingOrder="1"/>
    </xf>
    <xf numFmtId="0" fontId="18" fillId="0" borderId="0" xfId="0" applyFont="1" applyAlignment="1">
      <alignment horizontal="center" vertical="center" wrapText="1"/>
    </xf>
    <xf numFmtId="0" fontId="19" fillId="0" borderId="54" xfId="0" applyFont="1" applyBorder="1" applyAlignment="1">
      <alignment horizontal="center" vertical="center" wrapText="1"/>
    </xf>
    <xf numFmtId="0" fontId="21" fillId="7" borderId="59" xfId="0" applyFont="1" applyFill="1" applyBorder="1" applyAlignment="1">
      <alignment horizontal="center" vertical="center" wrapText="1" readingOrder="1"/>
    </xf>
    <xf numFmtId="0" fontId="21" fillId="9" borderId="59" xfId="0" applyFont="1" applyFill="1" applyBorder="1" applyAlignment="1">
      <alignment horizontal="center" vertical="center" wrapText="1" readingOrder="1"/>
    </xf>
    <xf numFmtId="0" fontId="21" fillId="8" borderId="59" xfId="0" applyFont="1" applyFill="1" applyBorder="1" applyAlignment="1">
      <alignment horizontal="center" vertical="center" wrapText="1" readingOrder="1"/>
    </xf>
    <xf numFmtId="0" fontId="21" fillId="10" borderId="59" xfId="0" applyFont="1" applyFill="1" applyBorder="1" applyAlignment="1">
      <alignment horizontal="center" vertical="center" wrapText="1" readingOrder="1"/>
    </xf>
    <xf numFmtId="0" fontId="13" fillId="0" borderId="0" xfId="0" applyFont="1" applyAlignment="1">
      <alignment horizontal="center" vertical="center"/>
    </xf>
    <xf numFmtId="0" fontId="27" fillId="0" borderId="0" xfId="0" applyFont="1" applyAlignment="1">
      <alignment horizontal="center" vertical="center"/>
    </xf>
    <xf numFmtId="0" fontId="44" fillId="2" borderId="43" xfId="0" applyFont="1" applyFill="1" applyBorder="1" applyAlignment="1">
      <alignment horizontal="left" vertical="center" wrapText="1"/>
    </xf>
    <xf numFmtId="0" fontId="3" fillId="0" borderId="44" xfId="0" applyFont="1" applyBorder="1"/>
    <xf numFmtId="0" fontId="42" fillId="2" borderId="96" xfId="0" applyFont="1" applyFill="1" applyBorder="1" applyAlignment="1">
      <alignment horizontal="center" vertical="center" wrapText="1" readingOrder="1"/>
    </xf>
    <xf numFmtId="0" fontId="3" fillId="0" borderId="95" xfId="0" applyFont="1" applyBorder="1"/>
    <xf numFmtId="0" fontId="3" fillId="0" borderId="100" xfId="0" applyFont="1" applyBorder="1"/>
    <xf numFmtId="0" fontId="40" fillId="15" borderId="81" xfId="0" applyFont="1" applyFill="1" applyBorder="1" applyAlignment="1">
      <alignment horizontal="center" vertical="center" wrapText="1" readingOrder="1"/>
    </xf>
    <xf numFmtId="0" fontId="3" fillId="0" borderId="82" xfId="0" applyFont="1" applyBorder="1"/>
    <xf numFmtId="0" fontId="3" fillId="0" borderId="83" xfId="0" applyFont="1" applyBorder="1"/>
    <xf numFmtId="0" fontId="42" fillId="15" borderId="81" xfId="0" applyFont="1" applyFill="1" applyBorder="1" applyAlignment="1">
      <alignment horizontal="center" vertical="center" wrapText="1" readingOrder="1"/>
    </xf>
    <xf numFmtId="0" fontId="3" fillId="0" borderId="84" xfId="0" applyFont="1" applyBorder="1"/>
    <xf numFmtId="0" fontId="42" fillId="2" borderId="87" xfId="0" applyFont="1" applyFill="1" applyBorder="1" applyAlignment="1">
      <alignment horizontal="center" vertical="center" wrapText="1" readingOrder="1"/>
    </xf>
    <xf numFmtId="0" fontId="3" fillId="0" borderId="91" xfId="0" applyFont="1" applyBorder="1"/>
    <xf numFmtId="0" fontId="3" fillId="0" borderId="97" xfId="0" applyFont="1" applyBorder="1"/>
    <xf numFmtId="0" fontId="42" fillId="2" borderId="88" xfId="0" applyFont="1" applyFill="1" applyBorder="1" applyAlignment="1">
      <alignment horizontal="center" vertical="center" wrapText="1" readingOrder="1"/>
    </xf>
    <xf numFmtId="0" fontId="3" fillId="0" borderId="92" xfId="0" applyFont="1" applyBorder="1"/>
    <xf numFmtId="0" fontId="42" fillId="2" borderId="98" xfId="0" applyFont="1" applyFill="1" applyBorder="1" applyAlignment="1">
      <alignment horizontal="center" vertical="center" wrapText="1" readingOrder="1"/>
    </xf>
    <xf numFmtId="0" fontId="3" fillId="0" borderId="99" xfId="0" applyFont="1" applyBorder="1"/>
    <xf numFmtId="0" fontId="59" fillId="0" borderId="117" xfId="0" applyFont="1" applyBorder="1"/>
    <xf numFmtId="0" fontId="59" fillId="0" borderId="118" xfId="0" applyFont="1" applyBorder="1"/>
    <xf numFmtId="0" fontId="51" fillId="0" borderId="118" xfId="0" applyFont="1" applyBorder="1" applyAlignment="1">
      <alignment horizontal="justify" vertical="center" wrapText="1"/>
    </xf>
    <xf numFmtId="0" fontId="51" fillId="0" borderId="118" xfId="0" applyFont="1" applyBorder="1" applyAlignment="1">
      <alignment horizontal="center" vertical="center" wrapText="1"/>
    </xf>
    <xf numFmtId="0" fontId="51" fillId="0" borderId="119" xfId="0" applyFont="1" applyBorder="1" applyAlignment="1">
      <alignment horizontal="center" vertical="center" wrapText="1"/>
    </xf>
    <xf numFmtId="0" fontId="50" fillId="0" borderId="0" xfId="0" applyFont="1" applyAlignment="1">
      <alignment horizontal="center" vertical="center"/>
    </xf>
    <xf numFmtId="0" fontId="50" fillId="0" borderId="114" xfId="0" applyFont="1" applyBorder="1" applyAlignment="1">
      <alignment horizontal="center" vertical="center" wrapText="1"/>
    </xf>
    <xf numFmtId="0" fontId="50" fillId="0" borderId="115" xfId="0" applyFont="1" applyBorder="1" applyAlignment="1">
      <alignment horizontal="center" vertical="center" wrapText="1"/>
    </xf>
    <xf numFmtId="0" fontId="50" fillId="0" borderId="116" xfId="0" applyFont="1" applyBorder="1" applyAlignment="1">
      <alignment horizontal="center" vertical="center" wrapText="1"/>
    </xf>
    <xf numFmtId="0" fontId="55" fillId="0" borderId="107" xfId="0" applyFont="1" applyBorder="1" applyAlignment="1">
      <alignment horizontal="justify" vertical="center" wrapText="1"/>
    </xf>
    <xf numFmtId="0" fontId="55" fillId="0" borderId="106" xfId="0" applyFont="1" applyBorder="1" applyAlignment="1">
      <alignment horizontal="justify" vertical="center" wrapText="1"/>
    </xf>
    <xf numFmtId="0" fontId="55" fillId="0" borderId="108" xfId="0" applyFont="1" applyBorder="1" applyAlignment="1">
      <alignment horizontal="justify" vertical="center" wrapText="1"/>
    </xf>
    <xf numFmtId="0" fontId="59" fillId="0" borderId="112" xfId="0" applyFont="1" applyBorder="1"/>
    <xf numFmtId="0" fontId="59" fillId="0" borderId="52" xfId="0" applyFont="1" applyBorder="1"/>
    <xf numFmtId="0" fontId="59" fillId="0" borderId="113" xfId="0" applyFont="1" applyBorder="1"/>
    <xf numFmtId="0" fontId="55" fillId="0" borderId="112" xfId="0" applyFont="1" applyBorder="1" applyAlignment="1">
      <alignment horizontal="justify" vertical="center" wrapText="1"/>
    </xf>
    <xf numFmtId="0" fontId="55" fillId="0" borderId="52" xfId="0" applyFont="1" applyBorder="1" applyAlignment="1">
      <alignment horizontal="justify" vertical="center" wrapText="1"/>
    </xf>
    <xf numFmtId="0" fontId="55" fillId="0" borderId="113" xfId="0" applyFont="1" applyBorder="1" applyAlignment="1">
      <alignment horizontal="justify" vertical="center" wrapText="1"/>
    </xf>
    <xf numFmtId="0" fontId="55" fillId="0" borderId="112" xfId="0" applyFont="1" applyBorder="1" applyAlignment="1">
      <alignment horizontal="center" vertical="center" wrapText="1"/>
    </xf>
    <xf numFmtId="0" fontId="55" fillId="0" borderId="52" xfId="0" applyFont="1" applyBorder="1" applyAlignment="1">
      <alignment horizontal="center" vertical="center" wrapText="1"/>
    </xf>
    <xf numFmtId="0" fontId="55" fillId="0" borderId="113" xfId="0" applyFont="1" applyBorder="1" applyAlignment="1">
      <alignment horizontal="center" vertical="center" wrapText="1"/>
    </xf>
    <xf numFmtId="0" fontId="59" fillId="0" borderId="109" xfId="0" applyFont="1" applyBorder="1"/>
    <xf numFmtId="0" fontId="59" fillId="0" borderId="110" xfId="0" applyFont="1" applyBorder="1"/>
    <xf numFmtId="0" fontId="59" fillId="0" borderId="111" xfId="0" applyFont="1" applyBorder="1"/>
    <xf numFmtId="0" fontId="0" fillId="0" borderId="109" xfId="0" applyBorder="1" applyAlignment="1">
      <alignment vertical="top" wrapText="1"/>
    </xf>
    <xf numFmtId="0" fontId="0" fillId="0" borderId="110" xfId="0" applyBorder="1" applyAlignment="1">
      <alignment vertical="top" wrapText="1"/>
    </xf>
    <xf numFmtId="0" fontId="0" fillId="0" borderId="111" xfId="0" applyBorder="1" applyAlignment="1">
      <alignment vertical="top" wrapText="1"/>
    </xf>
  </cellXfs>
  <cellStyles count="1">
    <cellStyle name="Normal" xfId="0" builtinId="0"/>
  </cellStyles>
  <dxfs count="169">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DBE5F1"/>
          <bgColor rgb="FFDBE5F1"/>
        </patternFill>
      </fill>
    </dxf>
    <dxf>
      <fill>
        <patternFill patternType="solid">
          <fgColor rgb="FFDBE5F1"/>
          <bgColor rgb="FFDBE5F1"/>
        </patternFill>
      </fill>
    </dxf>
    <dxf>
      <fill>
        <patternFill patternType="solid">
          <fgColor theme="4"/>
          <bgColor theme="4"/>
        </patternFill>
      </fill>
    </dxf>
  </dxfs>
  <tableStyles count="1" defaultTableStyle="TableStyleMedium2" defaultPivotStyle="PivotStyleLight16">
    <tableStyle name="Tabla Impacto-style" pivot="0" count="3">
      <tableStyleElement type="headerRow" dxfId="168"/>
      <tableStyleElement type="firstRowStripe" dxfId="167"/>
      <tableStyleElement type="secondRowStripe" dxfId="16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1551214</xdr:colOff>
      <xdr:row>0</xdr:row>
      <xdr:rowOff>0</xdr:rowOff>
    </xdr:from>
    <xdr:to>
      <xdr:col>2</xdr:col>
      <xdr:colOff>1768929</xdr:colOff>
      <xdr:row>4</xdr:row>
      <xdr:rowOff>181198</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23357" y="0"/>
          <a:ext cx="1796143" cy="12697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PC%20-%20701575/Downloads/pe_f_055_mapa_riesgos_gestion_FORMULAS%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a final"/>
      <sheetName val="Intructivo"/>
      <sheetName val="Matriz Calor Inherente"/>
      <sheetName val="Matriz Calor Residual"/>
      <sheetName val="Tabla probabilidad"/>
      <sheetName val="Tabla Impacto"/>
      <sheetName val="Tabla Valoración controles"/>
      <sheetName val="CONTROL DE CAMBIOS"/>
      <sheetName val="Opciones Tratamiento"/>
      <sheetName val="Hoja1"/>
    </sheetNames>
    <sheetDataSet>
      <sheetData sheetId="0" refreshError="1"/>
      <sheetData sheetId="1" refreshError="1"/>
      <sheetData sheetId="2" refreshError="1"/>
      <sheetData sheetId="3" refreshError="1"/>
      <sheetData sheetId="4" refreshError="1"/>
      <sheetData sheetId="5" refreshError="1">
        <row r="11">
          <cell r="C11" t="str">
            <v xml:space="preserve">     Afectación menor a 10 SMLMV .</v>
          </cell>
          <cell r="D11" t="str">
            <v xml:space="preserve">     El riesgo afecta la imagen de alguna área de la organización</v>
          </cell>
        </row>
        <row r="12">
          <cell r="C12" t="str">
            <v xml:space="preserve">     Entre 10 y 50 SMLMV </v>
          </cell>
          <cell r="D12" t="str">
            <v xml:space="preserve">     El riesgo afecta la imagen de la entidad internamente, de conocimiento general, nivel interno, de junta dircetiva y accionistas y/o de provedores</v>
          </cell>
        </row>
        <row r="13">
          <cell r="C13" t="str">
            <v xml:space="preserve">     Entre 50 y 100 SMLMV </v>
          </cell>
          <cell r="D13" t="str">
            <v xml:space="preserve">     El riesgo afecta la imagen de la entidad con algunos usuarios de relevancia frente al logro de los objetivos</v>
          </cell>
        </row>
        <row r="14">
          <cell r="C14" t="str">
            <v xml:space="preserve">     Entre 100 y 500 SMLMV </v>
          </cell>
          <cell r="D14" t="str">
            <v xml:space="preserve">     El riesgo afecta la imagen de de la entidad con efecto publicitario sostenido a nivel de sector administrativo, nivel departamental o municipal</v>
          </cell>
        </row>
        <row r="15">
          <cell r="C15" t="str">
            <v xml:space="preserve">     Mayor a 500 SMLMV </v>
          </cell>
          <cell r="D15" t="str">
            <v xml:space="preserve">     El riesgo afecta la imagen de la entidad a nivel nacional, con efecto publicitarios sostenible a nivel país</v>
          </cell>
        </row>
        <row r="221">
          <cell r="B221" t="str">
            <v>Criterios</v>
          </cell>
        </row>
        <row r="222">
          <cell r="B222" t="str">
            <v>Afectación Económica o presupuestal</v>
          </cell>
        </row>
        <row r="223">
          <cell r="B223" t="str">
            <v>Pérdida Reputacional</v>
          </cell>
          <cell r="F223" t="str">
            <v>❌</v>
          </cell>
        </row>
      </sheetData>
      <sheetData sheetId="6" refreshError="1"/>
      <sheetData sheetId="7" refreshError="1"/>
      <sheetData sheetId="8" refreshError="1"/>
      <sheetData sheetId="9" refreshError="1"/>
    </sheetDataSet>
  </externalBook>
</externalLink>
</file>

<file path=xl/tables/table1.xml><?xml version="1.0" encoding="utf-8"?>
<table xmlns="http://schemas.openxmlformats.org/spreadsheetml/2006/main" id="1" name="Table_1" displayName="Table_1" ref="B209:C219">
  <tableColumns count="2">
    <tableColumn id="1" name="Criterios"/>
    <tableColumn id="2" name="Subcriterios"/>
  </tableColumns>
  <tableStyleInfo name="Tabla Impacto-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AK51"/>
  <sheetViews>
    <sheetView showGridLines="0" tabSelected="1" zoomScale="70" zoomScaleNormal="70" workbookViewId="0">
      <selection activeCell="A13" sqref="A13:G13"/>
    </sheetView>
  </sheetViews>
  <sheetFormatPr baseColWidth="10" defaultColWidth="12.625" defaultRowHeight="16.5" x14ac:dyDescent="0.2"/>
  <cols>
    <col min="1" max="1" width="3.5" style="103" customWidth="1"/>
    <col min="2" max="2" width="20.625" style="103" customWidth="1"/>
    <col min="3" max="5" width="26.375" style="103" customWidth="1"/>
    <col min="6" max="6" width="16.625" style="103" customWidth="1"/>
    <col min="7" max="7" width="15.625" style="103" customWidth="1"/>
    <col min="8" max="8" width="14.5" style="103" customWidth="1"/>
    <col min="9" max="9" width="6.5" style="103" customWidth="1"/>
    <col min="10" max="10" width="23.875" style="103" customWidth="1"/>
    <col min="11" max="11" width="26.75" style="103" bestFit="1" customWidth="1"/>
    <col min="12" max="12" width="15.375" style="103" customWidth="1"/>
    <col min="13" max="13" width="5.5" style="103" customWidth="1"/>
    <col min="14" max="14" width="14" style="103" customWidth="1"/>
    <col min="15" max="15" width="5.125" style="103" customWidth="1"/>
    <col min="16" max="16" width="103.375" style="103" customWidth="1"/>
    <col min="17" max="17" width="13.25" style="103" customWidth="1"/>
    <col min="18" max="18" width="6" style="103" customWidth="1"/>
    <col min="19" max="19" width="4.375" style="103" customWidth="1"/>
    <col min="20" max="20" width="4.875" style="103" customWidth="1"/>
    <col min="21" max="21" width="6.25" style="103" customWidth="1"/>
    <col min="22" max="22" width="5.875" style="103" customWidth="1"/>
    <col min="23" max="23" width="6.625" style="103" customWidth="1"/>
    <col min="24" max="24" width="6.375" style="103" customWidth="1"/>
    <col min="25" max="25" width="7.625" style="103" customWidth="1"/>
    <col min="26" max="26" width="6.625" style="103" customWidth="1"/>
    <col min="27" max="27" width="8.125" style="103" customWidth="1"/>
    <col min="28" max="28" width="6.75" style="103" customWidth="1"/>
    <col min="29" max="29" width="7.375" style="103" customWidth="1"/>
    <col min="30" max="30" width="7.375" customWidth="1"/>
    <col min="31" max="31" width="8.375" style="103" customWidth="1"/>
    <col min="32" max="32" width="20.125" style="103" customWidth="1"/>
    <col min="33" max="33" width="16.5" style="103" customWidth="1"/>
    <col min="34" max="34" width="19.875" style="103" customWidth="1"/>
    <col min="35" max="35" width="17.875" style="103" customWidth="1"/>
    <col min="36" max="36" width="16.25" style="103" customWidth="1"/>
    <col min="37" max="37" width="18.375" style="103" customWidth="1"/>
    <col min="38" max="56" width="10" style="103" customWidth="1"/>
    <col min="57" max="16384" width="12.625" style="103"/>
  </cols>
  <sheetData>
    <row r="1" spans="1:37" ht="23.25" thickBot="1" x14ac:dyDescent="0.25">
      <c r="A1" s="186"/>
      <c r="B1" s="187"/>
      <c r="C1" s="187"/>
      <c r="D1" s="188"/>
      <c r="E1" s="195" t="s">
        <v>224</v>
      </c>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6"/>
    </row>
    <row r="2" spans="1:37" ht="24" x14ac:dyDescent="0.2">
      <c r="A2" s="189"/>
      <c r="B2" s="190"/>
      <c r="C2" s="190"/>
      <c r="D2" s="191"/>
      <c r="E2" s="197" t="s">
        <v>225</v>
      </c>
      <c r="F2" s="197"/>
      <c r="G2" s="197"/>
      <c r="H2" s="197"/>
      <c r="I2" s="197"/>
      <c r="J2" s="197"/>
      <c r="K2" s="197"/>
      <c r="L2" s="197"/>
      <c r="M2" s="197"/>
      <c r="N2" s="197"/>
      <c r="O2" s="197"/>
      <c r="P2" s="197"/>
      <c r="Q2" s="197"/>
      <c r="R2" s="197"/>
      <c r="S2" s="197"/>
      <c r="T2" s="197"/>
      <c r="U2" s="197"/>
      <c r="V2" s="197"/>
      <c r="W2" s="197"/>
      <c r="X2" s="197"/>
      <c r="Y2" s="197"/>
      <c r="Z2" s="197"/>
      <c r="AA2" s="197"/>
      <c r="AB2" s="197"/>
      <c r="AC2" s="197"/>
      <c r="AD2" s="197"/>
      <c r="AE2" s="197"/>
      <c r="AF2" s="197"/>
      <c r="AG2" s="197"/>
      <c r="AH2" s="197"/>
      <c r="AI2" s="197"/>
      <c r="AJ2" s="197"/>
      <c r="AK2" s="198"/>
    </row>
    <row r="3" spans="1:37" ht="23.25" thickBot="1" x14ac:dyDescent="0.25">
      <c r="A3" s="189"/>
      <c r="B3" s="190"/>
      <c r="C3" s="190"/>
      <c r="D3" s="191"/>
      <c r="E3" s="199" t="s">
        <v>221</v>
      </c>
      <c r="F3" s="199"/>
      <c r="G3" s="199"/>
      <c r="H3" s="199"/>
      <c r="I3" s="199"/>
      <c r="J3" s="199"/>
      <c r="K3" s="199"/>
      <c r="L3" s="199"/>
      <c r="M3" s="199"/>
      <c r="N3" s="200"/>
      <c r="O3" s="200"/>
      <c r="P3" s="200"/>
      <c r="Q3" s="200"/>
      <c r="R3" s="200"/>
      <c r="S3" s="200"/>
      <c r="T3" s="200"/>
      <c r="U3" s="200"/>
      <c r="V3" s="200"/>
      <c r="W3" s="200"/>
      <c r="X3" s="200"/>
      <c r="Y3" s="199"/>
      <c r="Z3" s="199"/>
      <c r="AA3" s="199"/>
      <c r="AB3" s="199"/>
      <c r="AC3" s="199"/>
      <c r="AD3" s="199"/>
      <c r="AE3" s="199"/>
      <c r="AF3" s="199"/>
      <c r="AG3" s="199"/>
      <c r="AH3" s="199"/>
      <c r="AI3" s="199"/>
      <c r="AJ3" s="199"/>
      <c r="AK3" s="201"/>
    </row>
    <row r="4" spans="1:37" x14ac:dyDescent="0.2">
      <c r="A4" s="189"/>
      <c r="B4" s="190"/>
      <c r="C4" s="190"/>
      <c r="D4" s="191"/>
      <c r="E4" s="202" t="s">
        <v>217</v>
      </c>
      <c r="F4" s="203"/>
      <c r="G4" s="203"/>
      <c r="H4" s="203"/>
      <c r="I4" s="203"/>
      <c r="J4" s="203"/>
      <c r="K4" s="203"/>
      <c r="L4" s="203"/>
      <c r="M4" s="203"/>
      <c r="N4" s="202" t="s">
        <v>218</v>
      </c>
      <c r="O4" s="203"/>
      <c r="P4" s="203"/>
      <c r="Q4" s="203"/>
      <c r="R4" s="203"/>
      <c r="S4" s="203"/>
      <c r="T4" s="203"/>
      <c r="U4" s="203"/>
      <c r="V4" s="203"/>
      <c r="W4" s="203"/>
      <c r="X4" s="206"/>
      <c r="Y4" s="203" t="s">
        <v>219</v>
      </c>
      <c r="Z4" s="203"/>
      <c r="AA4" s="203"/>
      <c r="AB4" s="203"/>
      <c r="AC4" s="203"/>
      <c r="AD4" s="203"/>
      <c r="AE4" s="203"/>
      <c r="AF4" s="203"/>
      <c r="AG4" s="206"/>
      <c r="AH4" s="202" t="s">
        <v>220</v>
      </c>
      <c r="AI4" s="203"/>
      <c r="AJ4" s="203"/>
      <c r="AK4" s="206"/>
    </row>
    <row r="5" spans="1:37" ht="18" thickBot="1" x14ac:dyDescent="0.25">
      <c r="A5" s="192"/>
      <c r="B5" s="193"/>
      <c r="C5" s="193"/>
      <c r="D5" s="194"/>
      <c r="E5" s="204">
        <v>45782</v>
      </c>
      <c r="F5" s="205"/>
      <c r="G5" s="205"/>
      <c r="H5" s="205"/>
      <c r="I5" s="205"/>
      <c r="J5" s="205"/>
      <c r="K5" s="205"/>
      <c r="L5" s="205"/>
      <c r="M5" s="205"/>
      <c r="N5" s="207" t="s">
        <v>241</v>
      </c>
      <c r="O5" s="208"/>
      <c r="P5" s="208"/>
      <c r="Q5" s="208"/>
      <c r="R5" s="208"/>
      <c r="S5" s="208"/>
      <c r="T5" s="208"/>
      <c r="U5" s="208"/>
      <c r="V5" s="208"/>
      <c r="W5" s="208"/>
      <c r="X5" s="209"/>
      <c r="Y5" s="205" t="s">
        <v>222</v>
      </c>
      <c r="Z5" s="205"/>
      <c r="AA5" s="205"/>
      <c r="AB5" s="205"/>
      <c r="AC5" s="205"/>
      <c r="AD5" s="205"/>
      <c r="AE5" s="205"/>
      <c r="AF5" s="205"/>
      <c r="AG5" s="210"/>
      <c r="AH5" s="211" t="s">
        <v>223</v>
      </c>
      <c r="AI5" s="205"/>
      <c r="AJ5" s="205"/>
      <c r="AK5" s="210"/>
    </row>
    <row r="6" spans="1:37" x14ac:dyDescent="0.3">
      <c r="AD6" s="116"/>
    </row>
    <row r="7" spans="1:37" x14ac:dyDescent="0.2">
      <c r="A7" s="153" t="s">
        <v>61</v>
      </c>
      <c r="B7" s="153"/>
      <c r="C7" s="153"/>
      <c r="D7" s="153"/>
      <c r="E7" s="153"/>
      <c r="F7" s="153"/>
      <c r="G7" s="153"/>
      <c r="H7" s="153"/>
      <c r="I7" s="153"/>
      <c r="J7" s="153"/>
      <c r="K7" s="153"/>
      <c r="L7" s="153"/>
      <c r="M7" s="153"/>
      <c r="N7" s="153"/>
      <c r="O7" s="153"/>
      <c r="P7" s="153"/>
      <c r="Q7" s="153"/>
      <c r="R7" s="153"/>
      <c r="S7" s="153"/>
      <c r="T7" s="153"/>
      <c r="U7" s="153"/>
      <c r="V7" s="153"/>
      <c r="W7" s="153"/>
      <c r="X7" s="153"/>
      <c r="Y7" s="153"/>
      <c r="Z7" s="153"/>
      <c r="AA7" s="153"/>
      <c r="AB7" s="153"/>
      <c r="AC7" s="153"/>
      <c r="AD7" s="153"/>
      <c r="AE7" s="153"/>
      <c r="AF7" s="153"/>
      <c r="AG7" s="153"/>
      <c r="AH7" s="153"/>
      <c r="AI7" s="153"/>
      <c r="AJ7" s="153"/>
      <c r="AK7" s="153"/>
    </row>
    <row r="8" spans="1:37" x14ac:dyDescent="0.2">
      <c r="A8" s="153"/>
      <c r="B8" s="153"/>
      <c r="C8" s="153"/>
      <c r="D8" s="153"/>
      <c r="E8" s="153"/>
      <c r="F8" s="153"/>
      <c r="G8" s="153"/>
      <c r="H8" s="153"/>
      <c r="I8" s="153"/>
      <c r="J8" s="153"/>
      <c r="K8" s="153"/>
      <c r="L8" s="153"/>
      <c r="M8" s="153"/>
      <c r="N8" s="153"/>
      <c r="O8" s="153"/>
      <c r="P8" s="153"/>
      <c r="Q8" s="153"/>
      <c r="R8" s="153"/>
      <c r="S8" s="153"/>
      <c r="T8" s="153"/>
      <c r="U8" s="153"/>
      <c r="V8" s="153"/>
      <c r="W8" s="153"/>
      <c r="X8" s="153"/>
      <c r="Y8" s="153"/>
      <c r="Z8" s="153"/>
      <c r="AA8" s="153"/>
      <c r="AB8" s="153"/>
      <c r="AC8" s="153"/>
      <c r="AD8" s="153"/>
      <c r="AE8" s="153"/>
      <c r="AF8" s="153"/>
      <c r="AG8" s="153"/>
      <c r="AH8" s="153"/>
      <c r="AI8" s="153"/>
      <c r="AJ8" s="153"/>
      <c r="AK8" s="153"/>
    </row>
    <row r="9" spans="1:37" x14ac:dyDescent="0.2">
      <c r="A9" s="104"/>
      <c r="B9" s="104"/>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5"/>
      <c r="AE9" s="104"/>
      <c r="AF9" s="104"/>
      <c r="AG9" s="104"/>
      <c r="AH9" s="104"/>
      <c r="AI9" s="104"/>
      <c r="AJ9" s="104"/>
      <c r="AK9" s="104"/>
    </row>
    <row r="10" spans="1:37" ht="18" x14ac:dyDescent="0.3">
      <c r="A10" s="170" t="s">
        <v>213</v>
      </c>
      <c r="B10" s="171"/>
      <c r="C10" s="172" t="s">
        <v>242</v>
      </c>
      <c r="D10" s="173"/>
      <c r="E10" s="173"/>
      <c r="F10" s="173"/>
      <c r="G10" s="173"/>
      <c r="H10" s="173"/>
      <c r="I10" s="173"/>
      <c r="J10" s="173"/>
      <c r="K10" s="173"/>
      <c r="L10" s="173"/>
      <c r="M10" s="173"/>
      <c r="N10" s="174"/>
      <c r="O10" s="175"/>
      <c r="P10" s="176"/>
      <c r="Q10" s="177"/>
      <c r="R10" s="104"/>
      <c r="S10" s="104"/>
      <c r="T10" s="104"/>
      <c r="U10" s="104"/>
      <c r="V10" s="104"/>
      <c r="W10" s="104"/>
      <c r="X10" s="104"/>
      <c r="Y10" s="104"/>
      <c r="Z10" s="104"/>
      <c r="AA10" s="104"/>
      <c r="AB10" s="104"/>
      <c r="AC10" s="104"/>
      <c r="AD10" s="134"/>
      <c r="AE10" s="104"/>
      <c r="AF10" s="104"/>
      <c r="AG10" s="104"/>
      <c r="AH10" s="104"/>
      <c r="AI10" s="104"/>
      <c r="AJ10" s="104"/>
      <c r="AK10" s="104"/>
    </row>
    <row r="11" spans="1:37" x14ac:dyDescent="0.3">
      <c r="A11" s="170" t="s">
        <v>62</v>
      </c>
      <c r="B11" s="171"/>
      <c r="C11" s="178" t="s">
        <v>243</v>
      </c>
      <c r="D11" s="173"/>
      <c r="E11" s="173"/>
      <c r="F11" s="173"/>
      <c r="G11" s="173"/>
      <c r="H11" s="173"/>
      <c r="I11" s="173"/>
      <c r="J11" s="173"/>
      <c r="K11" s="173"/>
      <c r="L11" s="173"/>
      <c r="M11" s="173"/>
      <c r="N11" s="174"/>
      <c r="O11" s="104"/>
      <c r="P11" s="104"/>
      <c r="Q11" s="104"/>
      <c r="R11" s="104"/>
      <c r="S11" s="104"/>
      <c r="T11" s="104"/>
      <c r="U11" s="104"/>
      <c r="V11" s="104"/>
      <c r="W11" s="104"/>
      <c r="X11" s="104"/>
      <c r="Y11" s="104"/>
      <c r="Z11" s="104"/>
      <c r="AA11" s="104"/>
      <c r="AB11" s="104"/>
      <c r="AC11" s="104"/>
      <c r="AD11" s="134"/>
      <c r="AE11" s="104"/>
      <c r="AF11" s="104"/>
      <c r="AG11" s="104"/>
      <c r="AH11" s="104"/>
      <c r="AI11" s="104"/>
      <c r="AJ11" s="104"/>
      <c r="AK11" s="104"/>
    </row>
    <row r="12" spans="1:37" ht="78.75" customHeight="1" x14ac:dyDescent="0.3">
      <c r="A12" s="170" t="s">
        <v>63</v>
      </c>
      <c r="B12" s="171"/>
      <c r="C12" s="178" t="s">
        <v>244</v>
      </c>
      <c r="D12" s="173"/>
      <c r="E12" s="173"/>
      <c r="F12" s="173"/>
      <c r="G12" s="173"/>
      <c r="H12" s="173"/>
      <c r="I12" s="173"/>
      <c r="J12" s="173"/>
      <c r="K12" s="173"/>
      <c r="L12" s="173"/>
      <c r="M12" s="173"/>
      <c r="N12" s="174"/>
      <c r="O12" s="105"/>
      <c r="P12" s="105"/>
      <c r="Q12" s="105"/>
      <c r="R12" s="105"/>
      <c r="S12" s="105"/>
      <c r="T12" s="105"/>
      <c r="U12" s="105"/>
      <c r="V12" s="105"/>
      <c r="W12" s="105"/>
      <c r="X12" s="105"/>
      <c r="Y12" s="105"/>
      <c r="Z12" s="105"/>
      <c r="AA12" s="105"/>
      <c r="AB12" s="105"/>
      <c r="AC12" s="105"/>
      <c r="AD12" s="134"/>
      <c r="AE12" s="105"/>
      <c r="AF12" s="105"/>
      <c r="AG12" s="105"/>
      <c r="AH12" s="105"/>
      <c r="AI12" s="105"/>
      <c r="AJ12" s="105"/>
      <c r="AK12" s="105"/>
    </row>
    <row r="13" spans="1:37" s="118" customFormat="1" x14ac:dyDescent="0.2">
      <c r="A13" s="153" t="s">
        <v>64</v>
      </c>
      <c r="B13" s="145"/>
      <c r="C13" s="145"/>
      <c r="D13" s="145"/>
      <c r="E13" s="145"/>
      <c r="F13" s="145"/>
      <c r="G13" s="145"/>
      <c r="H13" s="153" t="s">
        <v>65</v>
      </c>
      <c r="I13" s="145"/>
      <c r="J13" s="145"/>
      <c r="K13" s="145"/>
      <c r="L13" s="145"/>
      <c r="M13" s="145"/>
      <c r="N13" s="145"/>
      <c r="O13" s="153" t="s">
        <v>66</v>
      </c>
      <c r="P13" s="145"/>
      <c r="Q13" s="145"/>
      <c r="R13" s="145"/>
      <c r="S13" s="145"/>
      <c r="T13" s="145"/>
      <c r="U13" s="145"/>
      <c r="V13" s="145"/>
      <c r="W13" s="145"/>
      <c r="X13" s="153" t="s">
        <v>67</v>
      </c>
      <c r="Y13" s="145"/>
      <c r="Z13" s="145"/>
      <c r="AA13" s="145"/>
      <c r="AB13" s="145"/>
      <c r="AC13" s="145"/>
      <c r="AD13" s="145"/>
      <c r="AE13" s="145"/>
      <c r="AF13" s="153" t="s">
        <v>68</v>
      </c>
      <c r="AG13" s="145"/>
      <c r="AH13" s="145"/>
      <c r="AI13" s="145"/>
      <c r="AJ13" s="145"/>
      <c r="AK13" s="145"/>
    </row>
    <row r="14" spans="1:37" s="118" customFormat="1" x14ac:dyDescent="0.2">
      <c r="A14" s="179" t="s">
        <v>69</v>
      </c>
      <c r="B14" s="153" t="s">
        <v>15</v>
      </c>
      <c r="C14" s="154" t="s">
        <v>17</v>
      </c>
      <c r="D14" s="154" t="s">
        <v>19</v>
      </c>
      <c r="E14" s="153" t="s">
        <v>21</v>
      </c>
      <c r="F14" s="154" t="s">
        <v>23</v>
      </c>
      <c r="G14" s="154" t="s">
        <v>70</v>
      </c>
      <c r="H14" s="154" t="s">
        <v>71</v>
      </c>
      <c r="I14" s="153" t="s">
        <v>72</v>
      </c>
      <c r="J14" s="154" t="s">
        <v>73</v>
      </c>
      <c r="K14" s="154" t="s">
        <v>74</v>
      </c>
      <c r="L14" s="154" t="s">
        <v>75</v>
      </c>
      <c r="M14" s="153" t="s">
        <v>72</v>
      </c>
      <c r="N14" s="154" t="s">
        <v>29</v>
      </c>
      <c r="O14" s="155" t="s">
        <v>76</v>
      </c>
      <c r="P14" s="154" t="s">
        <v>31</v>
      </c>
      <c r="Q14" s="154" t="s">
        <v>33</v>
      </c>
      <c r="R14" s="154" t="s">
        <v>77</v>
      </c>
      <c r="S14" s="145"/>
      <c r="T14" s="145"/>
      <c r="U14" s="145"/>
      <c r="V14" s="145"/>
      <c r="W14" s="145"/>
      <c r="X14" s="155" t="s">
        <v>78</v>
      </c>
      <c r="Y14" s="155" t="s">
        <v>79</v>
      </c>
      <c r="Z14" s="155" t="s">
        <v>72</v>
      </c>
      <c r="AA14" s="155" t="s">
        <v>80</v>
      </c>
      <c r="AB14" s="155" t="s">
        <v>72</v>
      </c>
      <c r="AC14" s="155" t="s">
        <v>240</v>
      </c>
      <c r="AD14" s="138" t="s">
        <v>81</v>
      </c>
      <c r="AE14" s="155" t="s">
        <v>50</v>
      </c>
      <c r="AF14" s="154" t="s">
        <v>68</v>
      </c>
      <c r="AG14" s="154" t="s">
        <v>82</v>
      </c>
      <c r="AH14" s="154" t="s">
        <v>83</v>
      </c>
      <c r="AI14" s="154" t="s">
        <v>84</v>
      </c>
      <c r="AJ14" s="154" t="s">
        <v>85</v>
      </c>
      <c r="AK14" s="154" t="s">
        <v>54</v>
      </c>
    </row>
    <row r="15" spans="1:37" s="118" customFormat="1" ht="98.25" x14ac:dyDescent="0.2">
      <c r="A15" s="145"/>
      <c r="B15" s="145"/>
      <c r="C15" s="145"/>
      <c r="D15" s="145"/>
      <c r="E15" s="145"/>
      <c r="F15" s="145"/>
      <c r="G15" s="145"/>
      <c r="H15" s="145"/>
      <c r="I15" s="145"/>
      <c r="J15" s="145"/>
      <c r="K15" s="145"/>
      <c r="L15" s="145"/>
      <c r="M15" s="145"/>
      <c r="N15" s="145"/>
      <c r="O15" s="145"/>
      <c r="P15" s="145"/>
      <c r="Q15" s="145"/>
      <c r="R15" s="119" t="s">
        <v>86</v>
      </c>
      <c r="S15" s="119" t="s">
        <v>87</v>
      </c>
      <c r="T15" s="119" t="s">
        <v>88</v>
      </c>
      <c r="U15" s="119" t="s">
        <v>89</v>
      </c>
      <c r="V15" s="119" t="s">
        <v>90</v>
      </c>
      <c r="W15" s="119" t="s">
        <v>91</v>
      </c>
      <c r="X15" s="145"/>
      <c r="Y15" s="145"/>
      <c r="Z15" s="145"/>
      <c r="AA15" s="145"/>
      <c r="AB15" s="145"/>
      <c r="AC15" s="145"/>
      <c r="AD15" s="139"/>
      <c r="AE15" s="145"/>
      <c r="AF15" s="145"/>
      <c r="AG15" s="145"/>
      <c r="AH15" s="145"/>
      <c r="AI15" s="145"/>
      <c r="AJ15" s="145"/>
      <c r="AK15" s="145"/>
    </row>
    <row r="16" spans="1:37" ht="74.25" customHeight="1" x14ac:dyDescent="0.2">
      <c r="A16" s="161">
        <v>1</v>
      </c>
      <c r="B16" s="156" t="s">
        <v>197</v>
      </c>
      <c r="C16" s="156" t="s">
        <v>245</v>
      </c>
      <c r="D16" s="156" t="s">
        <v>251</v>
      </c>
      <c r="E16" s="156" t="s">
        <v>246</v>
      </c>
      <c r="F16" s="156" t="s">
        <v>203</v>
      </c>
      <c r="G16" s="157">
        <v>365</v>
      </c>
      <c r="H16" s="144" t="str">
        <f>IF(G16&lt;=0,"",IF(G16&lt;=2,"Muy Baja",IF(G16&lt;=24,"Baja",IF(G16&lt;=500,"Media",IF(G16&lt;=5000,"Alta","Muy Alta")))))</f>
        <v>Media</v>
      </c>
      <c r="I16" s="146">
        <f>IF(H16="","",IF(H16="Muy Baja",0.2,IF(H16="Baja",0.4,IF(H16="Media",0.6,IF(H16="Alta",0.8,IF(H16="Muy Alta",1,))))))</f>
        <v>0.6</v>
      </c>
      <c r="J16" s="148" t="s">
        <v>149</v>
      </c>
      <c r="K16" s="146" t="str">
        <f>IF(NOT(ISERROR(MATCH(J16,'[1]Tabla Impacto'!$B$221:$B$223,0))),'[1]Tabla Impacto'!$F$223&amp;"Por favor no seleccionar los criterios de impacto(Afectación Económica o presupuestal y Pérdida Reputacional)",J16)</f>
        <v xml:space="preserve">     El riesgo afecta la imagen de la entidad internamente, de conocimiento general, nivel interno, de junta dircetiva y accionistas y/o de provedores</v>
      </c>
      <c r="L16" s="144" t="str">
        <f>IF(OR(K16='[1]Tabla Impacto'!$C$11,K16='[1]Tabla Impacto'!$D$11),"Leve",IF(OR(K16='[1]Tabla Impacto'!$C$12,K16='[1]Tabla Impacto'!$D$12),"Menor",IF(OR(K16='[1]Tabla Impacto'!$C$13,K16='[1]Tabla Impacto'!$D$13),"Moderado",IF(OR(K16='[1]Tabla Impacto'!$C$14,K16='[1]Tabla Impacto'!$D$14),"Mayor",IF(OR(K16='[1]Tabla Impacto'!$C$15,K16='[1]Tabla Impacto'!$D$15),"Catastrófico","")))))</f>
        <v>Menor</v>
      </c>
      <c r="M16" s="146">
        <f>IF(L16="","",IF(L16="Leve",0.2,IF(L16="Menor",0.4,IF(L16="Moderado",0.6,IF(L16="Mayor",0.8,IF(L16="Catastrófico",1,))))))</f>
        <v>0.4</v>
      </c>
      <c r="N16" s="147"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Moderado</v>
      </c>
      <c r="O16" s="106">
        <v>1</v>
      </c>
      <c r="P16" s="130" t="s">
        <v>247</v>
      </c>
      <c r="Q16" s="110" t="str">
        <f t="shared" ref="Q16:Q46" si="0">IF(OR(R16="Preventivo",R16="Detectivo"),"Probabilidad",IF(R16="Correctivo","Impacto",""))</f>
        <v>Probabilidad</v>
      </c>
      <c r="R16" s="108" t="s">
        <v>167</v>
      </c>
      <c r="S16" s="108" t="s">
        <v>175</v>
      </c>
      <c r="T16" s="111" t="str">
        <f t="shared" ref="T16:T43" si="1">IF(AND(R16="Preventivo",S16="Automático"),"50%",IF(AND(R16="Preventivo",S16="Manual"),"40%",IF(AND(R16="Detectivo",S16="Automático"),"40%",IF(AND(R16="Detectivo",S16="Manual"),"30%",IF(AND(R16="Correctivo",S16="Automático"),"35%",IF(AND(R16="Correctivo",S16="Manual"),"25%",""))))))</f>
        <v>40%</v>
      </c>
      <c r="U16" s="131" t="s">
        <v>178</v>
      </c>
      <c r="V16" s="131" t="s">
        <v>183</v>
      </c>
      <c r="W16" s="131" t="s">
        <v>187</v>
      </c>
      <c r="X16" s="112">
        <f>IFERROR(IF(Q16="Probabilidad",(I16-(+I16*T16)),IF(Q16="Impacto",I16,"")),"")</f>
        <v>0.36</v>
      </c>
      <c r="Y16" s="113" t="str">
        <f t="shared" ref="Y16:Y46" si="2">IFERROR(IF(X16="","",IF(X16&lt;=0.2,"Muy Baja",IF(X16&lt;=0.4,"Baja",IF(X16&lt;=0.6,"Media",IF(X16&lt;=0.8,"Alta","Muy Alta"))))),"")</f>
        <v>Baja</v>
      </c>
      <c r="Z16" s="111">
        <f t="shared" ref="Z16:Z46" si="3">+X16</f>
        <v>0.36</v>
      </c>
      <c r="AA16" s="113" t="str">
        <f t="shared" ref="AA16:AA46" si="4">IFERROR(IF(AB16="","",IF(AB16&lt;=0.2,"Leve",IF(AB16&lt;=0.4,"Menor",IF(AB16&lt;=0.6,"Moderado",IF(AB16&lt;=0.8,"Mayor","Catastrófico"))))),"")</f>
        <v>Menor</v>
      </c>
      <c r="AB16" s="111">
        <f>IFERROR(IF(Q16="Impacto",(M16-(+M16*T16)),IF(Q16="Probabilidad",M16,"")),"")</f>
        <v>0.4</v>
      </c>
      <c r="AC16" s="114" t="str">
        <f t="shared" ref="AC16:AC46" si="5">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Moderado</v>
      </c>
      <c r="AD16" s="135" t="b">
        <f>IFERROR(IF(OR(AND(AC16="Bajo",AC17="Bajo",AC18="Bajo"),AND(AC16="Bajo",AC17="Bajo",AC18=""),AND(AC16="Bajo",AC17="",AC18="")),"Bajo",IF(OR(AND(AC16="Bajo",AC17="Bajo",AC18="Moderado"),AND(AC16="Bajo",AC17="Moderado",AC18="Moderado"),AND(AC16="Moderado",AC17="Moderado",AC18="Moderado"),AND(AC16="Bajo",AC17="Moderado",AC18=""),AND(AC16="Moderado",AC17="Bajo",AC18=""),AND(AC16="Moderado",AC17="Moderado",AC18=""),AND(AC16="Moderado",AC17="",AC18="")),"Moderado",IF(OR(AND(AC16="Bajo",AC17="Bajo",AC18="Alto"),AND(AC16="Bajo",AC17="Moderado",AC18="Alto"),AND(AC16="Moderado",AC17="Bajo",AC18="Alto"),AND(AC16="Moderado",AC17="Alto",AC18="Bajo"),AND(AC16="Moderado",AC17="Moderado",AC18="Alto"),AND(AC16="Alto",AC17="Bajo",AC18="Bajo"),AND(AC16="Alto",AC17="Moderado",AC18="Bajo"),AND(AC16="Alto",AC17="Moderado",AC18="Moderado"),AND(AC16="Alto",AC17="Alto",AC18="Bajo"),AND(AC16="Alto",AC17="Alto",AC18="Moderado"),AND(AC16="Alto",AC17="Alto",AC18="Alto"),AND(AC16="Alto",AC17="Bajo",AC18=""),AND(AC16="Alto",AC17="Moderado",AC18=""),AND(AC16="Alto",AC17="Alto",AC18=""),AND(AC16="Bajo",AC17="Alto",AC18=""),AND(AC16="Moderado",AC17="Alto",AC18=""),AND(AC16="Alto",AC17="",AC18="")),"Alto",IF(OR(AND(AC16="Bajo",AC17="Bajo",AC18="Extremo"),AND(AC16="Bajo",AC17="Moderado",AC18="Extremo"),AND(AC16="Bajo",AC17="Alto",AC18="Extremo"),AND(AC16="Moderado",AC17="Bajo",AC18="Extremo"),AND(AC16="Moderado",AC17="Alto",AC18="Extremo"),AND(AC16="Moderado",AC17="Moderado",AC18="Extremo"),AND(AC16="Alto",AC17="Bajo",AC18="Extremo"),AND(AC16="Alto",AC17="Moderado",AC18="Extremo"),AND(AC16="Alto",AC17="Alto",AC18="Extremo"),AND(AC16="Extremo",AC17="Bajo",AC18="Bajo"),AND(AC16="Extremo",AC17="Bajo",AC18="Moderado"),AND(AC16="Extremo",AC17="Bajo",AC18="Alto"),AND(AC16="Extremo",AC17="Moderado",AC18="Bajo"),AND(AC16="Extremo",AC17="Moderado",AC18="Moderado"),AND(AC16="Extremo",AC17="Moderado",AC18="Alto"),AND(AC16="Extremo",AC17="Alto",AC18="Bajo"),AND(AC16="Extremo",AC17="Alto",AC18="Moderado"),AND(AC16="Extremo",AC17="Alto",AC18="Alto"),AND(AC16="Extremo",AC17="Extremo",AC18="Bajo"),AND(AC16="Extremo",AC17="Extremo",AC18="Moderado"),AND(AC16="Extremo",AC17="Extremo",AC18="Alto"),AND(AC16="Extremo",AC17="Extremo",AC18="Extremo"),AND(AC16="Extremo",AC17="Bajo",AC18=""),AND(AC16="Extremo",AC17="Moderado",AC18=""),AND(AC16="Extremo",AC17="Alto",AC18=""),AND(AC16="Extremo",AC17="",AC18="")),"Extremo")))),"")</f>
        <v>0</v>
      </c>
      <c r="AE16" s="150" t="s">
        <v>194</v>
      </c>
      <c r="AF16" s="107"/>
      <c r="AG16" s="107"/>
      <c r="AH16" s="109"/>
      <c r="AI16" s="109"/>
      <c r="AJ16" s="107"/>
      <c r="AK16" s="106"/>
    </row>
    <row r="17" spans="1:37" ht="71.25" customHeight="1" x14ac:dyDescent="0.2">
      <c r="A17" s="162"/>
      <c r="B17" s="149"/>
      <c r="C17" s="156"/>
      <c r="D17" s="156"/>
      <c r="E17" s="149"/>
      <c r="F17" s="149"/>
      <c r="G17" s="149"/>
      <c r="H17" s="145"/>
      <c r="I17" s="145"/>
      <c r="J17" s="149"/>
      <c r="K17" s="145"/>
      <c r="L17" s="145"/>
      <c r="M17" s="145"/>
      <c r="N17" s="145"/>
      <c r="O17" s="106">
        <v>2</v>
      </c>
      <c r="P17" s="130" t="s">
        <v>269</v>
      </c>
      <c r="Q17" s="110" t="str">
        <f t="shared" si="0"/>
        <v>Probabilidad</v>
      </c>
      <c r="R17" s="108" t="s">
        <v>167</v>
      </c>
      <c r="S17" s="108" t="s">
        <v>175</v>
      </c>
      <c r="T17" s="111" t="str">
        <f t="shared" ref="T17:T18" si="6">IF(AND(R17="Preventivo",S17="Automático"),"50%",IF(AND(R17="Preventivo",S17="Manual"),"40%",IF(AND(R17="Detectivo",S17="Automático"),"40%",IF(AND(R17="Detectivo",S17="Manual"),"30%",IF(AND(R17="Correctivo",S17="Automático"),"35%",IF(AND(R17="Correctivo",S17="Manual"),"25%",""))))))</f>
        <v>40%</v>
      </c>
      <c r="U17" s="131" t="s">
        <v>178</v>
      </c>
      <c r="V17" s="131" t="s">
        <v>185</v>
      </c>
      <c r="W17" s="131" t="s">
        <v>187</v>
      </c>
      <c r="X17" s="112">
        <f>IFERROR(IF(AND(Q16="Probabilidad",Q17="Probabilidad"),(Z16-(+Z16*T17)),IF(Q17="Probabilidad",(I16-(+I16*T17)),IF(Q17="Impacto",Z16,""))),"")</f>
        <v>0.216</v>
      </c>
      <c r="Y17" s="113" t="str">
        <f t="shared" si="2"/>
        <v>Baja</v>
      </c>
      <c r="Z17" s="111">
        <f t="shared" si="3"/>
        <v>0.216</v>
      </c>
      <c r="AA17" s="113" t="str">
        <f t="shared" si="4"/>
        <v>Menor</v>
      </c>
      <c r="AB17" s="111">
        <f>IFERROR(IF(AND(Q16="Impacto",Q17="Impacto"),(AB16-(+AB16*T17)),IF(Q17="Impacto",($M$16-(+$M$16*T17)),IF(Q17="Probabilidad",AB16,""))),"")</f>
        <v>0.4</v>
      </c>
      <c r="AC17" s="114" t="str">
        <f>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Moderado</v>
      </c>
      <c r="AD17" s="136"/>
      <c r="AE17" s="151"/>
      <c r="AF17" s="107"/>
      <c r="AG17" s="107"/>
      <c r="AH17" s="109"/>
      <c r="AI17" s="109"/>
      <c r="AJ17" s="107"/>
      <c r="AK17" s="106"/>
    </row>
    <row r="18" spans="1:37" ht="68.25" customHeight="1" x14ac:dyDescent="0.2">
      <c r="A18" s="163"/>
      <c r="B18" s="149"/>
      <c r="C18" s="156"/>
      <c r="D18" s="156"/>
      <c r="E18" s="149"/>
      <c r="F18" s="149"/>
      <c r="G18" s="149"/>
      <c r="H18" s="145"/>
      <c r="I18" s="145"/>
      <c r="J18" s="149"/>
      <c r="K18" s="145"/>
      <c r="L18" s="145"/>
      <c r="M18" s="145"/>
      <c r="N18" s="145"/>
      <c r="O18" s="106">
        <v>3</v>
      </c>
      <c r="P18" s="130" t="s">
        <v>248</v>
      </c>
      <c r="Q18" s="110" t="str">
        <f t="shared" si="0"/>
        <v>Probabilidad</v>
      </c>
      <c r="R18" s="108" t="s">
        <v>167</v>
      </c>
      <c r="S18" s="108" t="s">
        <v>175</v>
      </c>
      <c r="T18" s="111" t="str">
        <f t="shared" si="6"/>
        <v>40%</v>
      </c>
      <c r="U18" s="131" t="s">
        <v>178</v>
      </c>
      <c r="V18" s="131" t="s">
        <v>185</v>
      </c>
      <c r="W18" s="131" t="s">
        <v>187</v>
      </c>
      <c r="X18" s="112">
        <f>IFERROR(IF(AND(Q17="Probabilidad",Q18="Probabilidad"),(Z17-(+Z17*T18)),IF(AND(Q17="Impacto",Q18="Probabilidad"),(Z16-(+Z16*T18)),IF(Q18="Impacto",Z17,""))),"")</f>
        <v>0.12959999999999999</v>
      </c>
      <c r="Y18" s="113" t="str">
        <f t="shared" si="2"/>
        <v>Muy Baja</v>
      </c>
      <c r="Z18" s="111">
        <f t="shared" si="3"/>
        <v>0.12959999999999999</v>
      </c>
      <c r="AA18" s="113" t="str">
        <f t="shared" si="4"/>
        <v>Menor</v>
      </c>
      <c r="AB18" s="111">
        <f>IFERROR(IF(AND(Q17="Impacto",Q18="Impacto"),(AB17-(+AB17*T18)),IF(AND(Q17="Probabilidad",Q18="Impacto"),(AB16-(+AB16*T18)),IF(Q18="Probabilidad",AB17,""))),"")</f>
        <v>0.4</v>
      </c>
      <c r="AC18" s="114" t="str">
        <f>IFERROR(IF(OR(AND(Y18="Muy Baja",AA18="Leve"),AND(Y18="Muy Baja",AA18="Menor"),AND(Y18="Baja",AA18="Leve")),"Bajo",IF(OR(AND(Y18="Muy baja",AA18="Moderado"),AND(Y18="Baja",AA18="Menor"),AND(Y18="Baja",AA18="Moderado"),AND(Y18="Media",AA18="Leve"),AND(Y18="Media",AA18="Menor"),AND(Y18="Media",AA18="Moderado"),AND(Y18="Alta",AA18="Leve"),AND(Y18="Alta",AA18="Menor")),"Moderado",IF(OR(AND(Y18="Muy Baja",AA18="Mayor"),AND(Y18="Baja",AA18="Mayor"),AND(Y18="Media",AA18="Mayor"),AND(Y18="Alta",AA18="Moderado"),AND(Y18="Alta",AA18="Mayor"),AND(Y18="Muy Alta",AA18="Leve"),AND(Y18="Muy Alta",AA18="Menor"),AND(Y18="Muy Alta",AA18="Moderado"),AND(Y18="Muy Alta",AA18="Mayor")),"Alto",IF(OR(AND(Y18="Muy Baja",AA18="Catastrófico"),AND(Y18="Baja",AA18="Catastrófico"),AND(Y18="Media",AA18="Catastrófico"),AND(Y18="Alta",AA18="Catastrófico"),AND(Y18="Muy Alta",AA18="Catastrófico")),"Extremo","")))),"")</f>
        <v>Bajo</v>
      </c>
      <c r="AD18" s="137"/>
      <c r="AE18" s="152"/>
      <c r="AF18" s="107"/>
      <c r="AG18" s="107"/>
      <c r="AH18" s="109"/>
      <c r="AI18" s="109"/>
      <c r="AJ18" s="107"/>
      <c r="AK18" s="106"/>
    </row>
    <row r="19" spans="1:37" ht="37.5" hidden="1" customHeight="1" x14ac:dyDescent="0.2">
      <c r="A19" s="122"/>
      <c r="B19" s="124"/>
      <c r="C19" s="124"/>
      <c r="D19" s="124"/>
      <c r="E19" s="124"/>
      <c r="F19" s="124"/>
      <c r="G19" s="129"/>
      <c r="H19" s="127" t="str">
        <f>IF(G19&lt;=0,"",IF(G19&lt;=2,"Muy Baja",IF(G19&lt;=24,"Baja",IF(G19&lt;=500,"Media",IF(G19&lt;=5000,"Alta","Muy Alta")))))</f>
        <v/>
      </c>
      <c r="I19" s="126" t="str">
        <f>IF(H19="","",IF(H19="Muy Baja",0.2,IF(H19="Baja",0.4,IF(H19="Media",0.6,IF(H19="Alta",0.8,IF(H19="Muy Alta",1,))))))</f>
        <v/>
      </c>
      <c r="J19" s="125"/>
      <c r="K19" s="126">
        <f ca="1">IF(NOT(ISERROR(MATCH(J19,'Tabla Impacto'!$B$221:$B$223,0))),'Tabla Impacto'!$F$223&amp;"Por favor no seleccionar los criterios de impacto(Afectación Económica o presupuestal y Pérdida Reputacional)",J19)</f>
        <v>0</v>
      </c>
      <c r="L19" s="127" t="str">
        <f ca="1">IF(OR(K19='Tabla Impacto'!$C$11,K19='Tabla Impacto'!$D$11),"Leve",IF(OR(K19='Tabla Impacto'!$C$12,K19='Tabla Impacto'!$D$12),"Menor",IF(OR(K19='Tabla Impacto'!$C$13,K19='Tabla Impacto'!$D$13),"Moderado",IF(OR(K19='Tabla Impacto'!$C$14,K19='Tabla Impacto'!$D$14),"Mayor",IF(OR(K19='Tabla Impacto'!$C$15,K19='Tabla Impacto'!$D$15),"Catastrófico","")))))</f>
        <v/>
      </c>
      <c r="M19" s="126" t="str">
        <f ca="1">IF(L19="","",IF(L19="Leve",0.2,IF(L19="Menor",0.4,IF(L19="Moderado",0.6,IF(L19="Mayor",0.8,IF(L19="Catastrófico",1,))))))</f>
        <v/>
      </c>
      <c r="N19" s="128" t="str">
        <f ca="1">IF(OR(AND(H19="Muy Baja",L19="Leve"),AND(H19="Muy Baja",L19="Menor"),AND(H19="Baja",L19="Leve")),"Bajo",IF(OR(AND(H19="Muy baja",L19="Moderado"),AND(H19="Baja",L19="Menor"),AND(H19="Baja",L19="Moderado"),AND(H19="Media",L19="Leve"),AND(H19="Media",L19="Menor"),AND(H19="Media",L19="Moderado"),AND(H19="Alta",L19="Leve"),AND(H19="Alta",L19="Menor")),"Moderado",IF(OR(AND(H19="Muy Baja",L19="Mayor"),AND(H19="Baja",L19="Mayor"),AND(H19="Media",L19="Mayor"),AND(H19="Alta",L19="Moderado"),AND(H19="Alta",L19="Mayor"),AND(H19="Muy Alta",L19="Leve"),AND(H19="Muy Alta",L19="Menor"),AND(H19="Muy Alta",L19="Moderado"),AND(H19="Muy Alta",L19="Mayor")),"Alto",IF(OR(AND(H19="Muy Baja",L19="Catastrófico"),AND(H19="Baja",L19="Catastrófico"),AND(H19="Media",L19="Catastrófico"),AND(H19="Alta",L19="Catastrófico"),AND(H19="Muy Alta",L19="Catastrófico")),"Extremo",""))))</f>
        <v/>
      </c>
      <c r="O19" s="106"/>
      <c r="P19" s="130"/>
      <c r="Q19" s="110" t="str">
        <f t="shared" si="0"/>
        <v/>
      </c>
      <c r="R19" s="108"/>
      <c r="S19" s="108"/>
      <c r="T19" s="111" t="str">
        <f t="shared" si="1"/>
        <v/>
      </c>
      <c r="U19" s="108"/>
      <c r="V19" s="108"/>
      <c r="W19" s="108"/>
      <c r="X19" s="112" t="str">
        <f t="shared" ref="X19:X40" si="7">IFERROR(IF(Q19="Probabilidad",(I19-(+I19*T19)),IF(Q19="Impacto",I19,"")),"")</f>
        <v/>
      </c>
      <c r="Y19" s="113" t="str">
        <f t="shared" si="2"/>
        <v/>
      </c>
      <c r="Z19" s="111" t="str">
        <f t="shared" si="3"/>
        <v/>
      </c>
      <c r="AA19" s="113" t="str">
        <f t="shared" si="4"/>
        <v/>
      </c>
      <c r="AB19" s="111" t="str">
        <f t="shared" ref="AB19:AB40" si="8">IFERROR(IF(Q19="Impacto",(M19-(+M19*T19)),IF(Q19="Probabilidad",M19,"")),"")</f>
        <v/>
      </c>
      <c r="AC19" s="114" t="str">
        <f t="shared" si="5"/>
        <v/>
      </c>
      <c r="AD19" s="123"/>
      <c r="AE19" s="108"/>
      <c r="AF19" s="107"/>
      <c r="AG19" s="107"/>
      <c r="AH19" s="109"/>
      <c r="AI19" s="109"/>
      <c r="AJ19" s="107"/>
      <c r="AK19" s="106"/>
    </row>
    <row r="20" spans="1:37" ht="42.75" hidden="1" customHeight="1" x14ac:dyDescent="0.2">
      <c r="A20" s="115"/>
      <c r="B20" s="124"/>
      <c r="C20" s="124"/>
      <c r="D20" s="124"/>
      <c r="E20" s="124"/>
      <c r="F20" s="124"/>
      <c r="G20" s="129"/>
      <c r="H20" s="127" t="str">
        <f>IF(G20&lt;=0,"",IF(G20&lt;=2,"Muy Baja",IF(G20&lt;=24,"Baja",IF(G20&lt;=500,"Media",IF(G20&lt;=5000,"Alta","Muy Alta")))))</f>
        <v/>
      </c>
      <c r="I20" s="126" t="str">
        <f>IF(H20="","",IF(H20="Muy Baja",0.2,IF(H20="Baja",0.4,IF(H20="Media",0.6,IF(H20="Alta",0.8,IF(H20="Muy Alta",1,))))))</f>
        <v/>
      </c>
      <c r="J20" s="125"/>
      <c r="K20" s="126">
        <f ca="1">IF(NOT(ISERROR(MATCH(J20,'Tabla Impacto'!$B$221:$B$223,0))),'Tabla Impacto'!$F$223&amp;"Por favor no seleccionar los criterios de impacto(Afectación Económica o presupuestal y Pérdida Reputacional)",J20)</f>
        <v>0</v>
      </c>
      <c r="L20" s="127" t="str">
        <f ca="1">IF(OR(K20='Tabla Impacto'!$C$11,K20='Tabla Impacto'!$D$11),"Leve",IF(OR(K20='Tabla Impacto'!$C$12,K20='Tabla Impacto'!$D$12),"Menor",IF(OR(K20='Tabla Impacto'!$C$13,K20='Tabla Impacto'!$D$13),"Moderado",IF(OR(K20='Tabla Impacto'!$C$14,K20='Tabla Impacto'!$D$14),"Mayor",IF(OR(K20='Tabla Impacto'!$C$15,K20='Tabla Impacto'!$D$15),"Catastrófico","")))))</f>
        <v/>
      </c>
      <c r="M20" s="126" t="str">
        <f ca="1">IF(L20="","",IF(L20="Leve",0.2,IF(L20="Menor",0.4,IF(L20="Moderado",0.6,IF(L20="Mayor",0.8,IF(L20="Catastrófico",1,))))))</f>
        <v/>
      </c>
      <c r="N20" s="128" t="str">
        <f ca="1">IF(OR(AND(H20="Muy Baja",L20="Leve"),AND(H20="Muy Baja",L20="Menor"),AND(H20="Baja",L20="Leve")),"Bajo",IF(OR(AND(H20="Muy baja",L20="Moderado"),AND(H20="Baja",L20="Menor"),AND(H20="Baja",L20="Moderado"),AND(H20="Media",L20="Leve"),AND(H20="Media",L20="Menor"),AND(H20="Media",L20="Moderado"),AND(H20="Alta",L20="Leve"),AND(H20="Alta",L20="Menor")),"Moderado",IF(OR(AND(H20="Muy Baja",L20="Mayor"),AND(H20="Baja",L20="Mayor"),AND(H20="Media",L20="Mayor"),AND(H20="Alta",L20="Moderado"),AND(H20="Alta",L20="Mayor"),AND(H20="Muy Alta",L20="Leve"),AND(H20="Muy Alta",L20="Menor"),AND(H20="Muy Alta",L20="Moderado"),AND(H20="Muy Alta",L20="Mayor")),"Alto",IF(OR(AND(H20="Muy Baja",L20="Catastrófico"),AND(H20="Baja",L20="Catastrófico"),AND(H20="Media",L20="Catastrófico"),AND(H20="Alta",L20="Catastrófico"),AND(H20="Muy Alta",L20="Catastrófico")),"Extremo",""))))</f>
        <v/>
      </c>
      <c r="O20" s="106"/>
      <c r="P20" s="130"/>
      <c r="Q20" s="110" t="str">
        <f t="shared" si="0"/>
        <v/>
      </c>
      <c r="R20" s="108"/>
      <c r="S20" s="108"/>
      <c r="T20" s="111" t="str">
        <f t="shared" si="1"/>
        <v/>
      </c>
      <c r="U20" s="108"/>
      <c r="V20" s="108"/>
      <c r="W20" s="108"/>
      <c r="X20" s="112" t="str">
        <f t="shared" si="7"/>
        <v/>
      </c>
      <c r="Y20" s="113" t="str">
        <f t="shared" si="2"/>
        <v/>
      </c>
      <c r="Z20" s="111" t="str">
        <f t="shared" si="3"/>
        <v/>
      </c>
      <c r="AA20" s="113" t="str">
        <f t="shared" si="4"/>
        <v/>
      </c>
      <c r="AB20" s="111" t="str">
        <f t="shared" si="8"/>
        <v/>
      </c>
      <c r="AC20" s="114" t="str">
        <f t="shared" si="5"/>
        <v/>
      </c>
      <c r="AD20" s="121"/>
      <c r="AE20" s="108"/>
      <c r="AF20" s="107"/>
      <c r="AG20" s="107"/>
      <c r="AH20" s="109"/>
      <c r="AI20" s="109"/>
      <c r="AJ20" s="107"/>
      <c r="AK20" s="106"/>
    </row>
    <row r="21" spans="1:37" ht="62.25" customHeight="1" x14ac:dyDescent="0.2">
      <c r="A21" s="157">
        <v>2</v>
      </c>
      <c r="B21" s="158" t="s">
        <v>197</v>
      </c>
      <c r="C21" s="156" t="s">
        <v>249</v>
      </c>
      <c r="D21" s="156" t="s">
        <v>250</v>
      </c>
      <c r="E21" s="156" t="s">
        <v>252</v>
      </c>
      <c r="F21" s="156" t="s">
        <v>203</v>
      </c>
      <c r="G21" s="157">
        <v>5000</v>
      </c>
      <c r="H21" s="144" t="str">
        <f>IF(G21&lt;=0,"",IF(G21&lt;=2,"Muy Baja",IF(G21&lt;=24,"Baja",IF(G21&lt;=500,"Media",IF(G21&lt;=5000,"Alta","Muy Alta")))))</f>
        <v>Alta</v>
      </c>
      <c r="I21" s="146">
        <f>IF(H21="","",IF(H21="Muy Baja",0.2,IF(H21="Baja",0.4,IF(H21="Media",0.6,IF(H21="Alta",0.8,IF(H21="Muy Alta",1,))))))</f>
        <v>0.8</v>
      </c>
      <c r="J21" s="148" t="s">
        <v>150</v>
      </c>
      <c r="K21" s="146" t="str">
        <f>IF(NOT(ISERROR(MATCH(J21,'[1]Tabla Impacto'!$B$221:$B$223,0))),'[1]Tabla Impacto'!$F$223&amp;"Por favor no seleccionar los criterios de impacto(Afectación Económica o presupuestal y Pérdida Reputacional)",J21)</f>
        <v xml:space="preserve">     Entre 50 y 100 SMLMV </v>
      </c>
      <c r="L21" s="144" t="str">
        <f>IF(OR(K21='[1]Tabla Impacto'!$C$11,K21='[1]Tabla Impacto'!$D$11),"Leve",IF(OR(K21='[1]Tabla Impacto'!$C$12,K21='[1]Tabla Impacto'!$D$12),"Menor",IF(OR(K21='[1]Tabla Impacto'!$C$13,K21='[1]Tabla Impacto'!$D$13),"Moderado",IF(OR(K21='[1]Tabla Impacto'!$C$14,K21='[1]Tabla Impacto'!$D$14),"Mayor",IF(OR(K21='[1]Tabla Impacto'!$C$15,K21='[1]Tabla Impacto'!$D$15),"Catastrófico","")))))</f>
        <v>Moderado</v>
      </c>
      <c r="M21" s="146">
        <f>IF(L21="","",IF(L21="Leve",0.2,IF(L21="Menor",0.4,IF(L21="Moderado",0.6,IF(L21="Mayor",0.8,IF(L21="Catastrófico",1,))))))</f>
        <v>0.6</v>
      </c>
      <c r="N21" s="147" t="str">
        <f>IF(OR(AND(H21="Muy Baja",L21="Leve"),AND(H21="Muy Baja",L21="Menor"),AND(H21="Baja",L21="Leve")),"Bajo",IF(OR(AND(H21="Muy baja",L21="Moderado"),AND(H21="Baja",L21="Menor"),AND(H21="Baja",L21="Moderado"),AND(H21="Media",L21="Leve"),AND(H21="Media",L21="Menor"),AND(H21="Media",L21="Moderado"),AND(H21="Alta",L21="Leve"),AND(H21="Alta",L21="Menor")),"Moderado",IF(OR(AND(H21="Muy Baja",L21="Mayor"),AND(H21="Baja",L21="Mayor"),AND(H21="Media",L21="Mayor"),AND(H21="Alta",L21="Moderado"),AND(H21="Alta",L21="Mayor"),AND(H21="Muy Alta",L21="Leve"),AND(H21="Muy Alta",L21="Menor"),AND(H21="Muy Alta",L21="Moderado"),AND(H21="Muy Alta",L21="Mayor")),"Alto",IF(OR(AND(H21="Muy Baja",L21="Catastrófico"),AND(H21="Baja",L21="Catastrófico"),AND(H21="Media",L21="Catastrófico"),AND(H21="Alta",L21="Catastrófico"),AND(H21="Muy Alta",L21="Catastrófico")),"Extremo",""))))</f>
        <v>Alto</v>
      </c>
      <c r="O21" s="106">
        <v>1</v>
      </c>
      <c r="P21" s="130" t="s">
        <v>253</v>
      </c>
      <c r="Q21" s="110" t="str">
        <f t="shared" si="0"/>
        <v>Probabilidad</v>
      </c>
      <c r="R21" s="108" t="s">
        <v>169</v>
      </c>
      <c r="S21" s="108" t="s">
        <v>175</v>
      </c>
      <c r="T21" s="111" t="str">
        <f t="shared" ref="T21:T23" si="9">IF(AND(R21="Preventivo",S21="Automático"),"50%",IF(AND(R21="Preventivo",S21="Manual"),"40%",IF(AND(R21="Detectivo",S21="Automático"),"40%",IF(AND(R21="Detectivo",S21="Manual"),"30%",IF(AND(R21="Correctivo",S21="Automático"),"35%",IF(AND(R21="Correctivo",S21="Manual"),"25%",""))))))</f>
        <v>30%</v>
      </c>
      <c r="U21" s="131" t="s">
        <v>178</v>
      </c>
      <c r="V21" s="131" t="s">
        <v>183</v>
      </c>
      <c r="W21" s="131" t="s">
        <v>187</v>
      </c>
      <c r="X21" s="112">
        <f>IFERROR(IF(Q21="Probabilidad",(I21-(+I21*T21)),IF(Q21="Impacto",I21,"")),"")</f>
        <v>0.56000000000000005</v>
      </c>
      <c r="Y21" s="113" t="str">
        <f t="shared" si="2"/>
        <v>Media</v>
      </c>
      <c r="Z21" s="111">
        <f t="shared" si="3"/>
        <v>0.56000000000000005</v>
      </c>
      <c r="AA21" s="113" t="str">
        <f t="shared" si="4"/>
        <v>Moderado</v>
      </c>
      <c r="AB21" s="111">
        <f>IFERROR(IF(Q21="Impacto",(M21-(+M21*T21)),IF(Q21="Probabilidad",M21,"")),"")</f>
        <v>0.6</v>
      </c>
      <c r="AC21" s="114" t="str">
        <f t="shared" si="5"/>
        <v>Moderado</v>
      </c>
      <c r="AD21" s="135" t="str">
        <f>IFERROR(IF(OR(AND(AC21="Bajo",AC22="Bajo",AC23="Bajo"),AND(AC21="Bajo",AC22="Bajo",AC23=""),AND(AC21="Bajo",AC22="",AC23="")),"Bajo",IF(OR(AND(AC21="Bajo",AC22="Bajo",AC23="Moderado"),AND(AC21="Bajo",AC22="Moderado",AC23="Moderado"),AND(AC21="Moderado",AC22="Moderado",AC23="Moderado"),,AND(AC21="Moderado",AC22="Bajo",AC23="Bajo"),AND(AC21="Bajo",AC22="Moderado",AC23=""),AND(AC21="Moderado",AC22="Bajo",AC23=""),AND(AC21="Moderado",AC22="Moderado",AC23=""),AND(AC21="Moderado",AC22="",AC23="")),"Moderado",IF(OR(AND(AC21="Bajo",AC22="Bajo",AC23="Alto"),AND(AC21="Bajo",AC22="Moderado",AC23="Alto"),AND(AC21="Moderado",AC22="Bajo",AC23="Alto"),AND(AC21="Moderado",AC22="Alto",AC23="Bajo"),AND(AC21="Moderado",AC22="Moderado",AC23="Alto"),AND(AC21="Alto",AC22="Bajo",AC23="Bajo"),AND(AC21="Alto",AC22="Moderado",AC23="Bajo"),AND(AC21="Alto",AC22="Moderado",AC23="Moderado"),AND(AC21="Alto",AC22="Alto",AC23="Bajo"),AND(AC21="Alto",AC22="Alto",AC23="Moderado"),AND(AC21="Alto",AC22="Alto",AC23="Alto"),AND(AC21="Alto",AC22="Bajo",AC23=""),AND(AC21="Alto",AC22="Moderado",AC23=""),AND(AC21="Alto",AC22="Alto",AC23=""),AND(AC21="Bajo",AC22="Alto",AC23=""),AND(AC21="Moderado",AC22="Alto",AC23=""),AND(AC21="Alto",AC22="",AC23="")),"Alto",IF(OR(AND(AC21="Bajo",AC22="Bajo",AC23="Extremo"),AND(AC21="Bajo",AC22="Moderado",AC23="Extremo"),AND(AC21="Bajo",AC22="Alto",AC23="Extremo"),AND(AC21="Moderado",AC22="Bajo",AC23="Extremo"),AND(AC21="Moderado",AC22="Alto",AC23="Extremo"),AND(AC21="Moderado",AC22="Moderado",AC23="Extremo"),AND(AC21="Alto",AC22="Bajo",AC23="Extremo"),AND(AC21="Alto",AC22="Moderado",AC23="Extremo"),AND(AC21="Alto",AC22="Alto",AC23="Extremo"),AND(AC21="Extremo",AC22="Bajo",AC23="Bajo"),AND(AC21="Extremo",AC22="Bajo",AC23="Moderado"),AND(AC21="Extremo",AC22="Bajo",AC23="Alto"),AND(AC21="Extremo",AC22="Moderado",AC23="Bajo"),AND(AC21="Extremo",AC22="Moderado",AC23="Moderado"),AND(AC21="Extremo",AC22="Moderado",AC23="Alto"),AND(AC21="Extremo",AC22="Alto",AC23="Bajo"),AND(AC21="Extremo",AC22="Alto",AC23="Moderado"),AND(AC21="Extremo",AC22="Alto",AC23="Alto"),AND(AC21="Extremo",AC22="Extremo",AC23="Bajo"),AND(AC21="Extremo",AC22="Extremo",AC23="Moderado"),AND(AC21="Extremo",AC22="Extremo",AC23="Alto"),AND(AC21="Extremo",AC22="Extremo",AC23="Extremo"),AND(AC21="Extremo",AC22="Bajo",AC23=""),AND(AC21="Extremo",AC22="Moderado",AC23=""),AND(AC21="Extremo",AC22="Alto",AC23=""),AND(AC21="Extremo",AC22="",AC23="")),"Extremo")))),"")</f>
        <v>Moderado</v>
      </c>
      <c r="AE21" s="150" t="s">
        <v>194</v>
      </c>
      <c r="AF21" s="107"/>
      <c r="AG21" s="107"/>
      <c r="AH21" s="109"/>
      <c r="AI21" s="109"/>
      <c r="AJ21" s="107"/>
      <c r="AK21" s="106"/>
    </row>
    <row r="22" spans="1:37" ht="47.25" customHeight="1" x14ac:dyDescent="0.2">
      <c r="A22" s="149"/>
      <c r="B22" s="159"/>
      <c r="C22" s="156"/>
      <c r="D22" s="156"/>
      <c r="E22" s="149"/>
      <c r="F22" s="149"/>
      <c r="G22" s="149"/>
      <c r="H22" s="145"/>
      <c r="I22" s="145"/>
      <c r="J22" s="149"/>
      <c r="K22" s="145"/>
      <c r="L22" s="145"/>
      <c r="M22" s="145"/>
      <c r="N22" s="145"/>
      <c r="O22" s="106">
        <v>2</v>
      </c>
      <c r="P22" s="130" t="s">
        <v>271</v>
      </c>
      <c r="Q22" s="110" t="str">
        <f t="shared" si="0"/>
        <v>Probabilidad</v>
      </c>
      <c r="R22" s="108" t="s">
        <v>167</v>
      </c>
      <c r="S22" s="108" t="s">
        <v>175</v>
      </c>
      <c r="T22" s="111" t="str">
        <f t="shared" si="9"/>
        <v>40%</v>
      </c>
      <c r="U22" s="131" t="s">
        <v>178</v>
      </c>
      <c r="V22" s="131" t="s">
        <v>185</v>
      </c>
      <c r="W22" s="131" t="s">
        <v>187</v>
      </c>
      <c r="X22" s="112">
        <f>IFERROR(IF(AND(Q21="Probabilidad",Q22="Probabilidad"),(Z21-(+Z21*T22)),IF(Q22="Probabilidad",(I21-(+I21*T22)),IF(Q22="Impacto",Z21,""))),"")</f>
        <v>0.33600000000000002</v>
      </c>
      <c r="Y22" s="113" t="str">
        <f t="shared" si="2"/>
        <v>Baja</v>
      </c>
      <c r="Z22" s="111">
        <f t="shared" si="3"/>
        <v>0.33600000000000002</v>
      </c>
      <c r="AA22" s="113" t="str">
        <f t="shared" si="4"/>
        <v>Moderado</v>
      </c>
      <c r="AB22" s="111">
        <f>IFERROR(IF(AND(Q21="Impacto",Q22="Impacto"),(AB21-(+AB21*T22)),IF(Q22="Impacto",($M$16-(+$M$16*T22)),IF(Q22="Probabilidad",AB21,""))),"")</f>
        <v>0.6</v>
      </c>
      <c r="AC22" s="114" t="str">
        <f t="shared" si="5"/>
        <v>Moderado</v>
      </c>
      <c r="AD22" s="136"/>
      <c r="AE22" s="151"/>
      <c r="AF22" s="107"/>
      <c r="AG22" s="107"/>
      <c r="AH22" s="109"/>
      <c r="AI22" s="109"/>
      <c r="AJ22" s="107"/>
      <c r="AK22" s="106"/>
    </row>
    <row r="23" spans="1:37" hidden="1" x14ac:dyDescent="0.2">
      <c r="A23" s="149"/>
      <c r="B23" s="160"/>
      <c r="C23" s="156"/>
      <c r="D23" s="156"/>
      <c r="E23" s="149"/>
      <c r="F23" s="149"/>
      <c r="G23" s="149"/>
      <c r="H23" s="145"/>
      <c r="I23" s="145"/>
      <c r="J23" s="149"/>
      <c r="K23" s="145"/>
      <c r="L23" s="145"/>
      <c r="M23" s="145"/>
      <c r="N23" s="145"/>
      <c r="O23" s="106">
        <v>3</v>
      </c>
      <c r="P23" s="130"/>
      <c r="Q23" s="110" t="str">
        <f t="shared" si="0"/>
        <v/>
      </c>
      <c r="R23" s="108"/>
      <c r="S23" s="108"/>
      <c r="T23" s="111" t="str">
        <f t="shared" si="9"/>
        <v/>
      </c>
      <c r="U23" s="131"/>
      <c r="V23" s="131"/>
      <c r="W23" s="131"/>
      <c r="X23" s="112" t="str">
        <f>IFERROR(IF(AND(Q22="Probabilidad",Q23="Probabilidad"),(Z22-(+Z22*T23)),IF(AND(Q22="Impacto",Q23="Probabilidad"),(Z21-(+Z21*T23)),IF(Q23="Impacto",Z22,""))),"")</f>
        <v/>
      </c>
      <c r="Y23" s="113" t="str">
        <f t="shared" si="2"/>
        <v/>
      </c>
      <c r="Z23" s="111" t="str">
        <f t="shared" si="3"/>
        <v/>
      </c>
      <c r="AA23" s="113" t="str">
        <f t="shared" si="4"/>
        <v/>
      </c>
      <c r="AB23" s="111" t="str">
        <f>IFERROR(IF(AND(Q22="Impacto",Q23="Impacto"),(AB22-(+AB22*T23)),IF(AND(Q22="Probabilidad",Q23="Impacto"),(AB21-(+AB21*T23)),IF(Q23="Probabilidad",AB22,""))),"")</f>
        <v/>
      </c>
      <c r="AC23" s="114" t="str">
        <f t="shared" si="5"/>
        <v/>
      </c>
      <c r="AD23" s="137"/>
      <c r="AE23" s="152"/>
      <c r="AF23" s="107"/>
      <c r="AG23" s="107"/>
      <c r="AH23" s="109"/>
      <c r="AI23" s="109"/>
      <c r="AJ23" s="107"/>
      <c r="AK23" s="106"/>
    </row>
    <row r="24" spans="1:37" ht="16.5" hidden="1" customHeight="1" x14ac:dyDescent="0.2">
      <c r="A24" s="115"/>
      <c r="B24" s="124"/>
      <c r="C24" s="124"/>
      <c r="D24" s="124"/>
      <c r="E24" s="124"/>
      <c r="F24" s="124"/>
      <c r="G24" s="129"/>
      <c r="H24" s="127" t="str">
        <f>IF(G24&lt;=0,"",IF(G24&lt;=2,"Muy Baja",IF(G24&lt;=24,"Baja",IF(G24&lt;=500,"Media",IF(G24&lt;=5000,"Alta","Muy Alta")))))</f>
        <v/>
      </c>
      <c r="I24" s="126" t="str">
        <f>IF(H24="","",IF(H24="Muy Baja",0.2,IF(H24="Baja",0.4,IF(H24="Media",0.6,IF(H24="Alta",0.8,IF(H24="Muy Alta",1,))))))</f>
        <v/>
      </c>
      <c r="J24" s="125"/>
      <c r="K24" s="126">
        <f ca="1">IF(NOT(ISERROR(MATCH(J24,'Tabla Impacto'!$B$221:$B$223,0))),'Tabla Impacto'!$F$223&amp;"Por favor no seleccionar los criterios de impacto(Afectación Económica o presupuestal y Pérdida Reputacional)",J24)</f>
        <v>0</v>
      </c>
      <c r="L24" s="127" t="str">
        <f ca="1">IF(OR(K24='Tabla Impacto'!$C$11,K24='Tabla Impacto'!$D$11),"Leve",IF(OR(K24='Tabla Impacto'!$C$12,K24='Tabla Impacto'!$D$12),"Menor",IF(OR(K24='Tabla Impacto'!$C$13,K24='Tabla Impacto'!$D$13),"Moderado",IF(OR(K24='Tabla Impacto'!$C$14,K24='Tabla Impacto'!$D$14),"Mayor",IF(OR(K24='Tabla Impacto'!$C$15,K24='Tabla Impacto'!$D$15),"Catastrófico","")))))</f>
        <v/>
      </c>
      <c r="M24" s="126" t="str">
        <f ca="1">IF(L24="","",IF(L24="Leve",0.2,IF(L24="Menor",0.4,IF(L24="Moderado",0.6,IF(L24="Mayor",0.8,IF(L24="Catastrófico",1,))))))</f>
        <v/>
      </c>
      <c r="N24" s="128" t="str">
        <f ca="1">IF(OR(AND(H24="Muy Baja",L24="Leve"),AND(H24="Muy Baja",L24="Menor"),AND(H24="Baja",L24="Leve")),"Bajo",IF(OR(AND(H24="Muy baja",L24="Moderado"),AND(H24="Baja",L24="Menor"),AND(H24="Baja",L24="Moderado"),AND(H24="Media",L24="Leve"),AND(H24="Media",L24="Menor"),AND(H24="Media",L24="Moderado"),AND(H24="Alta",L24="Leve"),AND(H24="Alta",L24="Menor")),"Moderado",IF(OR(AND(H24="Muy Baja",L24="Mayor"),AND(H24="Baja",L24="Mayor"),AND(H24="Media",L24="Mayor"),AND(H24="Alta",L24="Moderado"),AND(H24="Alta",L24="Mayor"),AND(H24="Muy Alta",L24="Leve"),AND(H24="Muy Alta",L24="Menor"),AND(H24="Muy Alta",L24="Moderado"),AND(H24="Muy Alta",L24="Mayor")),"Alto",IF(OR(AND(H24="Muy Baja",L24="Catastrófico"),AND(H24="Baja",L24="Catastrófico"),AND(H24="Media",L24="Catastrófico"),AND(H24="Alta",L24="Catastrófico"),AND(H24="Muy Alta",L24="Catastrófico")),"Extremo",""))))</f>
        <v/>
      </c>
      <c r="O24" s="106"/>
      <c r="P24" s="130"/>
      <c r="Q24" s="110" t="str">
        <f t="shared" si="0"/>
        <v/>
      </c>
      <c r="R24" s="108"/>
      <c r="S24" s="108"/>
      <c r="T24" s="111"/>
      <c r="U24" s="108"/>
      <c r="V24" s="108"/>
      <c r="W24" s="108"/>
      <c r="X24" s="112" t="str">
        <f t="shared" si="7"/>
        <v/>
      </c>
      <c r="Y24" s="113" t="str">
        <f t="shared" si="2"/>
        <v/>
      </c>
      <c r="Z24" s="111" t="str">
        <f t="shared" si="3"/>
        <v/>
      </c>
      <c r="AA24" s="113" t="str">
        <f t="shared" si="4"/>
        <v/>
      </c>
      <c r="AB24" s="111" t="str">
        <f t="shared" si="8"/>
        <v/>
      </c>
      <c r="AC24" s="114" t="str">
        <f t="shared" si="5"/>
        <v/>
      </c>
      <c r="AD24" s="123"/>
      <c r="AE24" s="108"/>
      <c r="AF24" s="107"/>
      <c r="AG24" s="107"/>
      <c r="AH24" s="109"/>
      <c r="AI24" s="109"/>
      <c r="AJ24" s="107"/>
      <c r="AK24" s="106"/>
    </row>
    <row r="25" spans="1:37" ht="16.5" hidden="1" customHeight="1" x14ac:dyDescent="0.2">
      <c r="A25" s="115"/>
      <c r="B25" s="124"/>
      <c r="C25" s="124"/>
      <c r="D25" s="124"/>
      <c r="E25" s="124"/>
      <c r="F25" s="124"/>
      <c r="G25" s="129"/>
      <c r="H25" s="127" t="str">
        <f>IF(G25&lt;=0,"",IF(G25&lt;=2,"Muy Baja",IF(G25&lt;=24,"Baja",IF(G25&lt;=500,"Media",IF(G25&lt;=5000,"Alta","Muy Alta")))))</f>
        <v/>
      </c>
      <c r="I25" s="126" t="str">
        <f>IF(H25="","",IF(H25="Muy Baja",0.2,IF(H25="Baja",0.4,IF(H25="Media",0.6,IF(H25="Alta",0.8,IF(H25="Muy Alta",1,))))))</f>
        <v/>
      </c>
      <c r="J25" s="125"/>
      <c r="K25" s="126">
        <f ca="1">IF(NOT(ISERROR(MATCH(J25,'Tabla Impacto'!$B$221:$B$223,0))),'Tabla Impacto'!$F$223&amp;"Por favor no seleccionar los criterios de impacto(Afectación Económica o presupuestal y Pérdida Reputacional)",J25)</f>
        <v>0</v>
      </c>
      <c r="L25" s="127" t="str">
        <f ca="1">IF(OR(K25='Tabla Impacto'!$C$11,K25='Tabla Impacto'!$D$11),"Leve",IF(OR(K25='Tabla Impacto'!$C$12,K25='Tabla Impacto'!$D$12),"Menor",IF(OR(K25='Tabla Impacto'!$C$13,K25='Tabla Impacto'!$D$13),"Moderado",IF(OR(K25='Tabla Impacto'!$C$14,K25='Tabla Impacto'!$D$14),"Mayor",IF(OR(K25='Tabla Impacto'!$C$15,K25='Tabla Impacto'!$D$15),"Catastrófico","")))))</f>
        <v/>
      </c>
      <c r="M25" s="126" t="str">
        <f ca="1">IF(L25="","",IF(L25="Leve",0.2,IF(L25="Menor",0.4,IF(L25="Moderado",0.6,IF(L25="Mayor",0.8,IF(L25="Catastrófico",1,))))))</f>
        <v/>
      </c>
      <c r="N25" s="128" t="str">
        <f ca="1">IF(OR(AND(H25="Muy Baja",L25="Leve"),AND(H25="Muy Baja",L25="Menor"),AND(H25="Baja",L25="Leve")),"Bajo",IF(OR(AND(H25="Muy baja",L25="Moderado"),AND(H25="Baja",L25="Menor"),AND(H25="Baja",L25="Moderado"),AND(H25="Media",L25="Leve"),AND(H25="Media",L25="Menor"),AND(H25="Media",L25="Moderado"),AND(H25="Alta",L25="Leve"),AND(H25="Alta",L25="Menor")),"Moderado",IF(OR(AND(H25="Muy Baja",L25="Mayor"),AND(H25="Baja",L25="Mayor"),AND(H25="Media",L25="Mayor"),AND(H25="Alta",L25="Moderado"),AND(H25="Alta",L25="Mayor"),AND(H25="Muy Alta",L25="Leve"),AND(H25="Muy Alta",L25="Menor"),AND(H25="Muy Alta",L25="Moderado"),AND(H25="Muy Alta",L25="Mayor")),"Alto",IF(OR(AND(H25="Muy Baja",L25="Catastrófico"),AND(H25="Baja",L25="Catastrófico"),AND(H25="Media",L25="Catastrófico"),AND(H25="Alta",L25="Catastrófico"),AND(H25="Muy Alta",L25="Catastrófico")),"Extremo",""))))</f>
        <v/>
      </c>
      <c r="O25" s="106"/>
      <c r="P25" s="130"/>
      <c r="Q25" s="110" t="str">
        <f t="shared" si="0"/>
        <v/>
      </c>
      <c r="R25" s="108"/>
      <c r="S25" s="108"/>
      <c r="T25" s="111"/>
      <c r="U25" s="108"/>
      <c r="V25" s="108"/>
      <c r="W25" s="108"/>
      <c r="X25" s="112" t="str">
        <f t="shared" si="7"/>
        <v/>
      </c>
      <c r="Y25" s="113" t="str">
        <f t="shared" si="2"/>
        <v/>
      </c>
      <c r="Z25" s="111" t="str">
        <f t="shared" si="3"/>
        <v/>
      </c>
      <c r="AA25" s="113" t="str">
        <f t="shared" si="4"/>
        <v/>
      </c>
      <c r="AB25" s="111" t="str">
        <f t="shared" si="8"/>
        <v/>
      </c>
      <c r="AC25" s="114" t="str">
        <f t="shared" si="5"/>
        <v/>
      </c>
      <c r="AD25" s="121"/>
      <c r="AE25" s="108"/>
      <c r="AF25" s="107"/>
      <c r="AG25" s="107"/>
      <c r="AH25" s="109"/>
      <c r="AI25" s="109"/>
      <c r="AJ25" s="107"/>
      <c r="AK25" s="106"/>
    </row>
    <row r="26" spans="1:37" ht="122.25" customHeight="1" x14ac:dyDescent="0.2">
      <c r="A26" s="161">
        <v>3</v>
      </c>
      <c r="B26" s="158" t="s">
        <v>195</v>
      </c>
      <c r="C26" s="158" t="s">
        <v>249</v>
      </c>
      <c r="D26" s="158" t="s">
        <v>254</v>
      </c>
      <c r="E26" s="158" t="s">
        <v>255</v>
      </c>
      <c r="F26" s="158" t="s">
        <v>203</v>
      </c>
      <c r="G26" s="161">
        <v>1</v>
      </c>
      <c r="H26" s="164" t="str">
        <f>IF(G26&lt;=0,"",IF(G26&lt;=2,"Muy Baja",IF(G26&lt;=24,"Baja",IF(G26&lt;=500,"Media",IF(G26&lt;=5000,"Alta","Muy Alta")))))</f>
        <v>Muy Baja</v>
      </c>
      <c r="I26" s="167">
        <f>IF(H26="","",IF(H26="Muy Baja",0.2,IF(H26="Baja",0.4,IF(H26="Media",0.6,IF(H26="Alta",0.8,IF(H26="Muy Alta",1,))))))</f>
        <v>0.2</v>
      </c>
      <c r="J26" s="183" t="s">
        <v>151</v>
      </c>
      <c r="K26" s="167" t="str">
        <f>IF(NOT(ISERROR(MATCH(J26,'[1]Tabla Impacto'!$B$221:$B$223,0))),'[1]Tabla Impacto'!$F$223&amp;"Por favor no seleccionar los criterios de impacto(Afectación Económica o presupuestal y Pérdida Reputacional)",J26)</f>
        <v xml:space="preserve">     El riesgo afecta la imagen de la entidad con algunos usuarios de relevancia frente al logro de los objetivos</v>
      </c>
      <c r="L26" s="164" t="str">
        <f>IF(OR(K26='[1]Tabla Impacto'!$C$11,K26='[1]Tabla Impacto'!$D$11),"Leve",IF(OR(K26='[1]Tabla Impacto'!$C$12,K26='[1]Tabla Impacto'!$D$12),"Menor",IF(OR(K26='[1]Tabla Impacto'!$C$13,K26='[1]Tabla Impacto'!$D$13),"Moderado",IF(OR(K26='[1]Tabla Impacto'!$C$14,K26='[1]Tabla Impacto'!$D$14),"Mayor",IF(OR(K26='[1]Tabla Impacto'!$C$15,K26='[1]Tabla Impacto'!$D$15),"Catastrófico","")))))</f>
        <v>Moderado</v>
      </c>
      <c r="M26" s="167">
        <f>IF(L26="","",IF(L26="Leve",0.2,IF(L26="Menor",0.4,IF(L26="Moderado",0.6,IF(L26="Mayor",0.8,IF(L26="Catastrófico",1,))))))</f>
        <v>0.6</v>
      </c>
      <c r="N26" s="180" t="str">
        <f>IF(OR(AND(H26="Muy Baja",L26="Leve"),AND(H26="Muy Baja",L26="Menor"),AND(H26="Baja",L26="Leve")),"Bajo",IF(OR(AND(H26="Muy baja",L26="Moderado"),AND(H26="Baja",L26="Menor"),AND(H26="Baja",L26="Moderado"),AND(H26="Media",L26="Leve"),AND(H26="Media",L26="Menor"),AND(H26="Media",L26="Moderado"),AND(H26="Alta",L26="Leve"),AND(H26="Alta",L26="Menor")),"Moderado",IF(OR(AND(H26="Muy Baja",L26="Mayor"),AND(H26="Baja",L26="Mayor"),AND(H26="Media",L26="Mayor"),AND(H26="Alta",L26="Moderado"),AND(H26="Alta",L26="Mayor"),AND(H26="Muy Alta",L26="Leve"),AND(H26="Muy Alta",L26="Menor"),AND(H26="Muy Alta",L26="Moderado"),AND(H26="Muy Alta",L26="Mayor")),"Alto",IF(OR(AND(H26="Muy Baja",L26="Catastrófico"),AND(H26="Baja",L26="Catastrófico"),AND(H26="Media",L26="Catastrófico"),AND(H26="Alta",L26="Catastrófico"),AND(H26="Muy Alta",L26="Catastrófico")),"Extremo",""))))</f>
        <v>Moderado</v>
      </c>
      <c r="O26" s="106">
        <v>1</v>
      </c>
      <c r="P26" s="130" t="s">
        <v>256</v>
      </c>
      <c r="Q26" s="110" t="str">
        <f t="shared" si="0"/>
        <v>Probabilidad</v>
      </c>
      <c r="R26" s="108" t="s">
        <v>167</v>
      </c>
      <c r="S26" s="108" t="s">
        <v>175</v>
      </c>
      <c r="T26" s="111" t="str">
        <f t="shared" ref="T26:T28" si="10">IF(AND(R26="Preventivo",S26="Automático"),"50%",IF(AND(R26="Preventivo",S26="Manual"),"40%",IF(AND(R26="Detectivo",S26="Automático"),"40%",IF(AND(R26="Detectivo",S26="Manual"),"30%",IF(AND(R26="Correctivo",S26="Automático"),"35%",IF(AND(R26="Correctivo",S26="Manual"),"25%",""))))))</f>
        <v>40%</v>
      </c>
      <c r="U26" s="131" t="s">
        <v>178</v>
      </c>
      <c r="V26" s="131" t="s">
        <v>185</v>
      </c>
      <c r="W26" s="131" t="s">
        <v>187</v>
      </c>
      <c r="X26" s="112">
        <f>IFERROR(IF(Q26="Probabilidad",(I26-(+I26*T26)),IF(Q26="Impacto",I26,"")),"")</f>
        <v>0.12</v>
      </c>
      <c r="Y26" s="113" t="str">
        <f t="shared" si="2"/>
        <v>Muy Baja</v>
      </c>
      <c r="Z26" s="111">
        <f t="shared" si="3"/>
        <v>0.12</v>
      </c>
      <c r="AA26" s="113" t="str">
        <f t="shared" si="4"/>
        <v>Moderado</v>
      </c>
      <c r="AB26" s="111">
        <f>IFERROR(IF(Q26="Impacto",(M26-(+M26*T26)),IF(Q26="Probabilidad",M26,"")),"")</f>
        <v>0.6</v>
      </c>
      <c r="AC26" s="114" t="str">
        <f t="shared" si="5"/>
        <v>Moderado</v>
      </c>
      <c r="AD26" s="140" t="str">
        <f>IFERROR(IF(OR(AND(AC26="Bajo",AC27="Bajo",AC28="Bajo"),AND(AC26="Bajo",AC27="Bajo",AC28=""),AND(AC26="Bajo",AC27="",AC28="")),"Bajo",IF(OR(AND(AC26="Bajo",AC27="Bajo",AC28="Moderado"),AND(AC26="Bajo",AC27="Moderado",AC28="Moderado"),AND(AC26="Moderado",AC27="Moderado",AC28="Moderado"),AND(AC26="Bajo",AC27="Moderado",AC28=""),AND(AC26="Moderado",AC27="Bajo",AC28=""),AND(AC26="Moderado",AC27="Moderado",AC28=""),AND(AC26="Moderado",AC27="",AC28="")),"Moderado",IF(OR(AND(AC26="Bajo",AC27="Bajo",AC28="Alto"),AND(AC26="Bajo",AC27="Moderado",AC28="Alto"),AND(AC26="Moderado",AC27="Bajo",AC28="Alto"),AND(AC26="Moderado",AC27="Alto",AC28="Bajo"),AND(AC26="Moderado",AC27="Moderado",AC28="Alto"),AND(AC26="Alto",AC27="Bajo",AC28="Bajo"),AND(AC26="Alto",AC27="Moderado",AC28="Bajo"),AND(AC26="Alto",AC27="Moderado",AC28="Moderado"),AND(AC26="Alto",AC27="Alto",AC28="Bajo"),AND(AC26="Alto",AC27="Alto",AC28="Moderado"),AND(AC26="Alto",AC27="Alto",AC28="Alto"),AND(AC26="Alto",AC27="Bajo",AC28=""),AND(AC26="Alto",AC27="Moderado",AC28=""),AND(AC26="Alto",AC27="Alto",AC28=""),AND(AC26="Bajo",AC27="Alto",AC28=""),AND(AC26="Moderado",AC27="Alto",AC28=""),AND(AC26="Alto",AC27="",AC28="")),"Alto",IF(OR(AND(AC26="Bajo",AC27="Bajo",AC28="Extremo"),AND(AC26="Bajo",AC27="Moderado",AC28="Extremo"),AND(AC26="Bajo",AC27="Alto",AC28="Extremo"),AND(AC26="Moderado",AC27="Bajo",AC28="Extremo"),AND(AC26="Moderado",AC27="Alto",AC28="Extremo"),AND(AC26="Moderado",AC27="Moderado",AC28="Extremo"),AND(AC26="Alto",AC27="Bajo",AC28="Extremo"),AND(AC26="Alto",AC27="Moderado",AC28="Extremo"),AND(AC26="Alto",AC27="Alto",AC28="Extremo"),AND(AC26="Extremo",AC27="Bajo",AC28="Bajo"),AND(AC26="Extremo",AC27="Bajo",AC28="Moderado"),AND(AC26="Extremo",AC27="Bajo",AC28="Alto"),AND(AC26="Extremo",AC27="Moderado",AC28="Bajo"),AND(AC26="Extremo",AC27="Moderado",AC28="Moderado"),AND(AC26="Extremo",AC27="Moderado",AC28="Alto"),AND(AC26="Extremo",AC27="Alto",AC28="Bajo"),AND(AC26="Extremo",AC27="Alto",AC28="Moderado"),AND(AC26="Extremo",AC27="Alto",AC28="Alto"),AND(AC26="Extremo",AC27="Extremo",AC28="Bajo"),AND(AC26="Extremo",AC27="Extremo",AC28="Moderado"),AND(AC26="Extremo",AC27="Extremo",AC28="Alto"),AND(AC26="Extremo",AC27="Extremo",AC28="Extremo"),AND(AC26="Extremo",AC27="Bajo",AC28=""),AND(AC26="Extremo",AC27="Moderado",AC28=""),AND(AC26="Extremo",AC27="Alto",AC28=""),AND(AC26="Extremo",AC27="",AC28="")),"Extremo")))),"")</f>
        <v>Moderado</v>
      </c>
      <c r="AE26" s="150" t="s">
        <v>194</v>
      </c>
      <c r="AF26" s="107"/>
      <c r="AG26" s="107"/>
      <c r="AH26" s="109"/>
      <c r="AI26" s="109"/>
      <c r="AJ26" s="107"/>
      <c r="AK26" s="106"/>
    </row>
    <row r="27" spans="1:37" hidden="1" x14ac:dyDescent="0.2">
      <c r="A27" s="162"/>
      <c r="B27" s="159"/>
      <c r="C27" s="159"/>
      <c r="D27" s="159"/>
      <c r="E27" s="159"/>
      <c r="F27" s="159"/>
      <c r="G27" s="162"/>
      <c r="H27" s="165"/>
      <c r="I27" s="168"/>
      <c r="J27" s="184"/>
      <c r="K27" s="168"/>
      <c r="L27" s="165"/>
      <c r="M27" s="168"/>
      <c r="N27" s="181"/>
      <c r="O27" s="106">
        <v>2</v>
      </c>
      <c r="P27" s="130"/>
      <c r="Q27" s="110" t="str">
        <f t="shared" si="0"/>
        <v/>
      </c>
      <c r="R27" s="108"/>
      <c r="S27" s="108"/>
      <c r="T27" s="111" t="str">
        <f t="shared" si="10"/>
        <v/>
      </c>
      <c r="U27" s="131"/>
      <c r="V27" s="131"/>
      <c r="W27" s="131"/>
      <c r="X27" s="112" t="str">
        <f>IFERROR(IF(AND(Q26="Probabilidad",Q27="Probabilidad"),(Z26-(+Z26*T27)),IF(Q27="Probabilidad",(I26-(+I26*T27)),IF(Q27="Impacto",Z26,""))),"")</f>
        <v/>
      </c>
      <c r="Y27" s="113" t="str">
        <f t="shared" si="2"/>
        <v/>
      </c>
      <c r="Z27" s="111" t="str">
        <f t="shared" si="3"/>
        <v/>
      </c>
      <c r="AA27" s="113" t="str">
        <f t="shared" si="4"/>
        <v/>
      </c>
      <c r="AB27" s="111" t="str">
        <f>IFERROR(IF(AND(Q26="Impacto",Q27="Impacto"),(AB26-(+AB26*T27)),IF(Q27="Impacto",($M$16-(+$M$16*T27)),IF(Q27="Probabilidad",AB26,""))),"")</f>
        <v/>
      </c>
      <c r="AC27" s="114" t="str">
        <f t="shared" si="5"/>
        <v/>
      </c>
      <c r="AD27" s="141"/>
      <c r="AE27" s="151"/>
      <c r="AF27" s="107"/>
      <c r="AG27" s="107"/>
      <c r="AH27" s="109"/>
      <c r="AI27" s="109"/>
      <c r="AJ27" s="107"/>
      <c r="AK27" s="106"/>
    </row>
    <row r="28" spans="1:37" hidden="1" x14ac:dyDescent="0.2">
      <c r="A28" s="163"/>
      <c r="B28" s="160"/>
      <c r="C28" s="160"/>
      <c r="D28" s="160"/>
      <c r="E28" s="160"/>
      <c r="F28" s="160"/>
      <c r="G28" s="163"/>
      <c r="H28" s="166"/>
      <c r="I28" s="169"/>
      <c r="J28" s="185"/>
      <c r="K28" s="169"/>
      <c r="L28" s="166"/>
      <c r="M28" s="169"/>
      <c r="N28" s="182"/>
      <c r="O28" s="106">
        <v>3</v>
      </c>
      <c r="P28" s="130"/>
      <c r="Q28" s="110" t="str">
        <f t="shared" si="0"/>
        <v/>
      </c>
      <c r="R28" s="108"/>
      <c r="S28" s="108"/>
      <c r="T28" s="111" t="str">
        <f t="shared" si="10"/>
        <v/>
      </c>
      <c r="U28" s="131"/>
      <c r="V28" s="131"/>
      <c r="W28" s="131"/>
      <c r="X28" s="112" t="str">
        <f>IFERROR(IF(AND(Q27="Probabilidad",Q28="Probabilidad"),(Z27-(+Z27*T28)),IF(AND(Q27="Impacto",Q28="Probabilidad"),(Z26-(+Z26*T28)),IF(Q28="Impacto",Z27,""))),"")</f>
        <v/>
      </c>
      <c r="Y28" s="113" t="str">
        <f t="shared" si="2"/>
        <v/>
      </c>
      <c r="Z28" s="111" t="str">
        <f t="shared" si="3"/>
        <v/>
      </c>
      <c r="AA28" s="113" t="str">
        <f t="shared" si="4"/>
        <v/>
      </c>
      <c r="AB28" s="111" t="str">
        <f>IFERROR(IF(AND(Q27="Impacto",Q28="Impacto"),(AB27-(+AB27*T28)),IF(AND(Q27="Probabilidad",Q28="Impacto"),(AB26-(+AB26*T28)),IF(Q28="Probabilidad",AB27,""))),"")</f>
        <v/>
      </c>
      <c r="AC28" s="114" t="str">
        <f t="shared" si="5"/>
        <v/>
      </c>
      <c r="AD28" s="142"/>
      <c r="AE28" s="152"/>
      <c r="AF28" s="107"/>
      <c r="AG28" s="107"/>
      <c r="AH28" s="109"/>
      <c r="AI28" s="109"/>
      <c r="AJ28" s="107"/>
      <c r="AK28" s="106"/>
    </row>
    <row r="29" spans="1:37" ht="16.5" hidden="1" customHeight="1" x14ac:dyDescent="0.2">
      <c r="A29" s="115"/>
      <c r="B29" s="124"/>
      <c r="C29" s="124"/>
      <c r="D29" s="124"/>
      <c r="E29" s="124"/>
      <c r="F29" s="124"/>
      <c r="G29" s="129"/>
      <c r="H29" s="127" t="str">
        <f>IF(G29&lt;=0,"",IF(G29&lt;=2,"Muy Baja",IF(G29&lt;=24,"Baja",IF(G29&lt;=500,"Media",IF(G29&lt;=5000,"Alta","Muy Alta")))))</f>
        <v/>
      </c>
      <c r="I29" s="126" t="str">
        <f>IF(H29="","",IF(H29="Muy Baja",0.2,IF(H29="Baja",0.4,IF(H29="Media",0.6,IF(H29="Alta",0.8,IF(H29="Muy Alta",1,))))))</f>
        <v/>
      </c>
      <c r="J29" s="125"/>
      <c r="K29" s="126">
        <f ca="1">IF(NOT(ISERROR(MATCH(J29,'Tabla Impacto'!$B$221:$B$223,0))),'Tabla Impacto'!$F$223&amp;"Por favor no seleccionar los criterios de impacto(Afectación Económica o presupuestal y Pérdida Reputacional)",J29)</f>
        <v>0</v>
      </c>
      <c r="L29" s="127" t="str">
        <f ca="1">IF(OR(K29='Tabla Impacto'!$C$11,K29='Tabla Impacto'!$D$11),"Leve",IF(OR(K29='Tabla Impacto'!$C$12,K29='Tabla Impacto'!$D$12),"Menor",IF(OR(K29='Tabla Impacto'!$C$13,K29='Tabla Impacto'!$D$13),"Moderado",IF(OR(K29='Tabla Impacto'!$C$14,K29='Tabla Impacto'!$D$14),"Mayor",IF(OR(K29='Tabla Impacto'!$C$15,K29='Tabla Impacto'!$D$15),"Catastrófico","")))))</f>
        <v/>
      </c>
      <c r="M29" s="126" t="str">
        <f ca="1">IF(L29="","",IF(L29="Leve",0.2,IF(L29="Menor",0.4,IF(L29="Moderado",0.6,IF(L29="Mayor",0.8,IF(L29="Catastrófico",1,))))))</f>
        <v/>
      </c>
      <c r="N29" s="128" t="str">
        <f ca="1">IF(OR(AND(H29="Muy Baja",L29="Leve"),AND(H29="Muy Baja",L29="Menor"),AND(H29="Baja",L29="Leve")),"Bajo",IF(OR(AND(H29="Muy baja",L29="Moderado"),AND(H29="Baja",L29="Menor"),AND(H29="Baja",L29="Moderado"),AND(H29="Media",L29="Leve"),AND(H29="Media",L29="Menor"),AND(H29="Media",L29="Moderado"),AND(H29="Alta",L29="Leve"),AND(H29="Alta",L29="Menor")),"Moderado",IF(OR(AND(H29="Muy Baja",L29="Mayor"),AND(H29="Baja",L29="Mayor"),AND(H29="Media",L29="Mayor"),AND(H29="Alta",L29="Moderado"),AND(H29="Alta",L29="Mayor"),AND(H29="Muy Alta",L29="Leve"),AND(H29="Muy Alta",L29="Menor"),AND(H29="Muy Alta",L29="Moderado"),AND(H29="Muy Alta",L29="Mayor")),"Alto",IF(OR(AND(H29="Muy Baja",L29="Catastrófico"),AND(H29="Baja",L29="Catastrófico"),AND(H29="Media",L29="Catastrófico"),AND(H29="Alta",L29="Catastrófico"),AND(H29="Muy Alta",L29="Catastrófico")),"Extremo",""))))</f>
        <v/>
      </c>
      <c r="O29" s="106"/>
      <c r="P29" s="130"/>
      <c r="Q29" s="110" t="str">
        <f t="shared" si="0"/>
        <v/>
      </c>
      <c r="R29" s="108"/>
      <c r="S29" s="108"/>
      <c r="T29" s="111" t="str">
        <f t="shared" si="1"/>
        <v/>
      </c>
      <c r="U29" s="108"/>
      <c r="V29" s="108"/>
      <c r="W29" s="108"/>
      <c r="X29" s="112" t="str">
        <f t="shared" si="7"/>
        <v/>
      </c>
      <c r="Y29" s="113" t="str">
        <f t="shared" si="2"/>
        <v/>
      </c>
      <c r="Z29" s="111" t="str">
        <f t="shared" si="3"/>
        <v/>
      </c>
      <c r="AA29" s="113" t="str">
        <f t="shared" si="4"/>
        <v/>
      </c>
      <c r="AB29" s="111" t="str">
        <f t="shared" si="8"/>
        <v/>
      </c>
      <c r="AC29" s="114" t="str">
        <f t="shared" si="5"/>
        <v/>
      </c>
      <c r="AD29" s="123"/>
      <c r="AE29" s="108"/>
      <c r="AF29" s="107"/>
      <c r="AG29" s="107"/>
      <c r="AH29" s="109"/>
      <c r="AI29" s="109"/>
      <c r="AJ29" s="107"/>
      <c r="AK29" s="106"/>
    </row>
    <row r="30" spans="1:37" ht="16.5" hidden="1" customHeight="1" x14ac:dyDescent="0.2">
      <c r="A30" s="115"/>
      <c r="B30" s="124"/>
      <c r="C30" s="124"/>
      <c r="D30" s="124"/>
      <c r="E30" s="124"/>
      <c r="F30" s="124"/>
      <c r="G30" s="129"/>
      <c r="H30" s="127" t="str">
        <f>IF(G30&lt;=0,"",IF(G30&lt;=2,"Muy Baja",IF(G30&lt;=24,"Baja",IF(G30&lt;=500,"Media",IF(G30&lt;=5000,"Alta","Muy Alta")))))</f>
        <v/>
      </c>
      <c r="I30" s="126" t="str">
        <f>IF(H30="","",IF(H30="Muy Baja",0.2,IF(H30="Baja",0.4,IF(H30="Media",0.6,IF(H30="Alta",0.8,IF(H30="Muy Alta",1,))))))</f>
        <v/>
      </c>
      <c r="J30" s="125"/>
      <c r="K30" s="126">
        <f ca="1">IF(NOT(ISERROR(MATCH(J30,'Tabla Impacto'!$B$221:$B$223,0))),'Tabla Impacto'!$F$223&amp;"Por favor no seleccionar los criterios de impacto(Afectación Económica o presupuestal y Pérdida Reputacional)",J30)</f>
        <v>0</v>
      </c>
      <c r="L30" s="127" t="str">
        <f ca="1">IF(OR(K30='Tabla Impacto'!$C$11,K30='Tabla Impacto'!$D$11),"Leve",IF(OR(K30='Tabla Impacto'!$C$12,K30='Tabla Impacto'!$D$12),"Menor",IF(OR(K30='Tabla Impacto'!$C$13,K30='Tabla Impacto'!$D$13),"Moderado",IF(OR(K30='Tabla Impacto'!$C$14,K30='Tabla Impacto'!$D$14),"Mayor",IF(OR(K30='Tabla Impacto'!$C$15,K30='Tabla Impacto'!$D$15),"Catastrófico","")))))</f>
        <v/>
      </c>
      <c r="M30" s="126" t="str">
        <f ca="1">IF(L30="","",IF(L30="Leve",0.2,IF(L30="Menor",0.4,IF(L30="Moderado",0.6,IF(L30="Mayor",0.8,IF(L30="Catastrófico",1,))))))</f>
        <v/>
      </c>
      <c r="N30" s="128" t="str">
        <f ca="1">IF(OR(AND(H30="Muy Baja",L30="Leve"),AND(H30="Muy Baja",L30="Menor"),AND(H30="Baja",L30="Leve")),"Bajo",IF(OR(AND(H30="Muy baja",L30="Moderado"),AND(H30="Baja",L30="Menor"),AND(H30="Baja",L30="Moderado"),AND(H30="Media",L30="Leve"),AND(H30="Media",L30="Menor"),AND(H30="Media",L30="Moderado"),AND(H30="Alta",L30="Leve"),AND(H30="Alta",L30="Menor")),"Moderado",IF(OR(AND(H30="Muy Baja",L30="Mayor"),AND(H30="Baja",L30="Mayor"),AND(H30="Media",L30="Mayor"),AND(H30="Alta",L30="Moderado"),AND(H30="Alta",L30="Mayor"),AND(H30="Muy Alta",L30="Leve"),AND(H30="Muy Alta",L30="Menor"),AND(H30="Muy Alta",L30="Moderado"),AND(H30="Muy Alta",L30="Mayor")),"Alto",IF(OR(AND(H30="Muy Baja",L30="Catastrófico"),AND(H30="Baja",L30="Catastrófico"),AND(H30="Media",L30="Catastrófico"),AND(H30="Alta",L30="Catastrófico"),AND(H30="Muy Alta",L30="Catastrófico")),"Extremo",""))))</f>
        <v/>
      </c>
      <c r="O30" s="106"/>
      <c r="P30" s="130"/>
      <c r="Q30" s="110" t="str">
        <f t="shared" si="0"/>
        <v/>
      </c>
      <c r="R30" s="108"/>
      <c r="S30" s="108"/>
      <c r="T30" s="111" t="str">
        <f t="shared" si="1"/>
        <v/>
      </c>
      <c r="U30" s="108"/>
      <c r="V30" s="108"/>
      <c r="W30" s="108"/>
      <c r="X30" s="112" t="str">
        <f t="shared" si="7"/>
        <v/>
      </c>
      <c r="Y30" s="113" t="str">
        <f t="shared" si="2"/>
        <v/>
      </c>
      <c r="Z30" s="111" t="str">
        <f t="shared" si="3"/>
        <v/>
      </c>
      <c r="AA30" s="113" t="str">
        <f t="shared" si="4"/>
        <v/>
      </c>
      <c r="AB30" s="111" t="str">
        <f t="shared" si="8"/>
        <v/>
      </c>
      <c r="AC30" s="114" t="str">
        <f t="shared" si="5"/>
        <v/>
      </c>
      <c r="AD30" s="123"/>
      <c r="AE30" s="108"/>
      <c r="AF30" s="107"/>
      <c r="AG30" s="107"/>
      <c r="AH30" s="109"/>
      <c r="AI30" s="109"/>
      <c r="AJ30" s="107"/>
      <c r="AK30" s="106"/>
    </row>
    <row r="31" spans="1:37" ht="34.5" customHeight="1" x14ac:dyDescent="0.2">
      <c r="A31" s="157">
        <v>4</v>
      </c>
      <c r="B31" s="158" t="s">
        <v>197</v>
      </c>
      <c r="C31" s="156" t="s">
        <v>257</v>
      </c>
      <c r="D31" s="156" t="s">
        <v>258</v>
      </c>
      <c r="E31" s="156" t="s">
        <v>259</v>
      </c>
      <c r="F31" s="156" t="s">
        <v>203</v>
      </c>
      <c r="G31" s="157">
        <v>120</v>
      </c>
      <c r="H31" s="144" t="str">
        <f>IF(G31&lt;=0,"",IF(G31&lt;=2,"Muy Baja",IF(G31&lt;=24,"Baja",IF(G31&lt;=500,"Media",IF(G31&lt;=5000,"Alta","Muy Alta")))))</f>
        <v>Media</v>
      </c>
      <c r="I31" s="146">
        <f>IF(H31="","",IF(H31="Muy Baja",0.2,IF(H31="Baja",0.4,IF(H31="Media",0.6,IF(H31="Alta",0.8,IF(H31="Muy Alta",1,))))))</f>
        <v>0.6</v>
      </c>
      <c r="J31" s="148" t="s">
        <v>151</v>
      </c>
      <c r="K31" s="146" t="str">
        <f>IF(NOT(ISERROR(MATCH(J31,'[1]Tabla Impacto'!$B$221:$B$223,0))),'[1]Tabla Impacto'!$F$223&amp;"Por favor no seleccionar los criterios de impacto(Afectación Económica o presupuestal y Pérdida Reputacional)",J31)</f>
        <v xml:space="preserve">     El riesgo afecta la imagen de la entidad con algunos usuarios de relevancia frente al logro de los objetivos</v>
      </c>
      <c r="L31" s="144" t="str">
        <f>IF(OR(K31='[1]Tabla Impacto'!$C$11,K31='[1]Tabla Impacto'!$D$11),"Leve",IF(OR(K31='[1]Tabla Impacto'!$C$12,K31='[1]Tabla Impacto'!$D$12),"Menor",IF(OR(K31='[1]Tabla Impacto'!$C$13,K31='[1]Tabla Impacto'!$D$13),"Moderado",IF(OR(K31='[1]Tabla Impacto'!$C$14,K31='[1]Tabla Impacto'!$D$14),"Mayor",IF(OR(K31='[1]Tabla Impacto'!$C$15,K31='[1]Tabla Impacto'!$D$15),"Catastrófico","")))))</f>
        <v>Moderado</v>
      </c>
      <c r="M31" s="146">
        <f>IF(L31="","",IF(L31="Leve",0.2,IF(L31="Menor",0.4,IF(L31="Moderado",0.6,IF(L31="Mayor",0.8,IF(L31="Catastrófico",1,))))))</f>
        <v>0.6</v>
      </c>
      <c r="N31" s="147" t="str">
        <f>IF(OR(AND(H31="Muy Baja",L31="Leve"),AND(H31="Muy Baja",L31="Menor"),AND(H31="Baja",L31="Leve")),"Bajo",IF(OR(AND(H31="Muy baja",L31="Moderado"),AND(H31="Baja",L31="Menor"),AND(H31="Baja",L31="Moderado"),AND(H31="Media",L31="Leve"),AND(H31="Media",L31="Menor"),AND(H31="Media",L31="Moderado"),AND(H31="Alta",L31="Leve"),AND(H31="Alta",L31="Menor")),"Moderado",IF(OR(AND(H31="Muy Baja",L31="Mayor"),AND(H31="Baja",L31="Mayor"),AND(H31="Media",L31="Mayor"),AND(H31="Alta",L31="Moderado"),AND(H31="Alta",L31="Mayor"),AND(H31="Muy Alta",L31="Leve"),AND(H31="Muy Alta",L31="Menor"),AND(H31="Muy Alta",L31="Moderado"),AND(H31="Muy Alta",L31="Mayor")),"Alto",IF(OR(AND(H31="Muy Baja",L31="Catastrófico"),AND(H31="Baja",L31="Catastrófico"),AND(H31="Media",L31="Catastrófico"),AND(H31="Alta",L31="Catastrófico"),AND(H31="Muy Alta",L31="Catastrófico")),"Extremo",""))))</f>
        <v>Moderado</v>
      </c>
      <c r="O31" s="106">
        <v>1</v>
      </c>
      <c r="P31" s="130" t="s">
        <v>260</v>
      </c>
      <c r="Q31" s="110" t="str">
        <f t="shared" si="0"/>
        <v>Probabilidad</v>
      </c>
      <c r="R31" s="108" t="s">
        <v>167</v>
      </c>
      <c r="S31" s="108" t="s">
        <v>175</v>
      </c>
      <c r="T31" s="111" t="str">
        <f t="shared" ref="T31:T33" si="11">IF(AND(R31="Preventivo",S31="Automático"),"50%",IF(AND(R31="Preventivo",S31="Manual"),"40%",IF(AND(R31="Detectivo",S31="Automático"),"40%",IF(AND(R31="Detectivo",S31="Manual"),"30%",IF(AND(R31="Correctivo",S31="Automático"),"35%",IF(AND(R31="Correctivo",S31="Manual"),"25%",""))))))</f>
        <v>40%</v>
      </c>
      <c r="U31" s="131" t="s">
        <v>178</v>
      </c>
      <c r="V31" s="131" t="s">
        <v>185</v>
      </c>
      <c r="W31" s="131" t="s">
        <v>187</v>
      </c>
      <c r="X31" s="112">
        <f>IFERROR(IF(Q31="Probabilidad",(I31-(+I31*T31)),IF(Q31="Impacto",I31,"")),"")</f>
        <v>0.36</v>
      </c>
      <c r="Y31" s="113" t="str">
        <f t="shared" si="2"/>
        <v>Baja</v>
      </c>
      <c r="Z31" s="111">
        <f t="shared" si="3"/>
        <v>0.36</v>
      </c>
      <c r="AA31" s="113" t="str">
        <f t="shared" si="4"/>
        <v>Moderado</v>
      </c>
      <c r="AB31" s="111">
        <f>IFERROR(IF(Q31="Impacto",(M31-(+M31*T31)),IF(Q31="Probabilidad",M31,"")),"")</f>
        <v>0.6</v>
      </c>
      <c r="AC31" s="114" t="str">
        <f t="shared" si="5"/>
        <v>Moderado</v>
      </c>
      <c r="AD31" s="135" t="str">
        <f>IFERROR(IF(OR(AND(AC31="Bajo",AC32="Bajo",AC33="Bajo"),AND(AC31="Bajo",AC32="Bajo",AC33=""),AND(AC31="Bajo",AC32="",AC33="")),"Bajo",IF(OR(AND(AC31="Bajo",AC32="Bajo",AC33="Moderado"),AND(AC31="Bajo",AC32="Moderado",AC33="Moderado"),AND(AC31="Moderado",AC32="Moderado",AC33="Moderado"),AND(AC31="Bajo",AC32="Moderado",AC33=""),AND(AC31="Moderado",AC32="Bajo",AC33=""),AND(AC31="Moderado",AC32="Moderado",AC33=""),AND(AC31="Moderado",AC32="",AC33="")),"Moderado",IF(OR(AND(AC31="Bajo",AC32="Bajo",AC33="Alto"),AND(AC31="Bajo",AC32="Moderado",AC33="Alto"),AND(AC31="Moderado",AC32="Bajo",AC33="Alto"),AND(AC31="Moderado",AC32="Alto",AC33="Bajo"),AND(AC31="Moderado",AC32="Moderado",AC33="Alto"),AND(AC31="Alto",AC32="Bajo",AC33="Bajo"),AND(AC31="Alto",AC32="Moderado",AC33="Bajo"),AND(AC31="Alto",AC32="Moderado",AC33="Moderado"),AND(AC31="Alto",AC32="Alto",AC33="Bajo"),AND(AC31="Alto",AC32="Alto",AC33="Moderado"),AND(AC31="Alto",AC32="Alto",AC33="Alto"),AND(AC31="Alto",AC32="Bajo",AC33=""),AND(AC31="Alto",AC32="Moderado",AC33=""),AND(AC31="Alto",AC32="Alto",AC33=""),AND(AC31="Bajo",AC32="Alto",AC33=""),AND(AC31="Moderado",AC32="Alto",AC33=""),AND(AC31="Alto",AC32="",AC33="")),"Alto",IF(OR(AND(AC31="Bajo",AC32="Bajo",AC33="Extremo"),AND(AC31="Bajo",AC32="Moderado",AC33="Extremo"),AND(AC31="Bajo",AC32="Alto",AC33="Extremo"),AND(AC31="Moderado",AC32="Bajo",AC33="Extremo"),AND(AC31="Moderado",AC32="Alto",AC33="Extremo"),AND(AC31="Moderado",AC32="Moderado",AC33="Extremo"),AND(AC31="Alto",AC32="Bajo",AC33="Extremo"),AND(AC31="Alto",AC32="Moderado",AC33="Extremo"),AND(AC31="Alto",AC32="Alto",AC33="Extremo"),AND(AC31="Extremo",AC32="Bajo",AC33="Bajo"),AND(AC31="Extremo",AC32="Bajo",AC33="Moderado"),AND(AC31="Extremo",AC32="Bajo",AC33="Alto"),AND(AC31="Extremo",AC32="Moderado",AC33="Bajo"),AND(AC31="Extremo",AC32="Moderado",AC33="Moderado"),AND(AC31="Extremo",AC32="Moderado",AC33="Alto"),AND(AC31="Extremo",AC32="Alto",AC33="Bajo"),AND(AC31="Extremo",AC32="Alto",AC33="Moderado"),AND(AC31="Extremo",AC32="Alto",AC33="Alto"),AND(AC31="Extremo",AC32="Extremo",AC33="Bajo"),AND(AC31="Extremo",AC32="Extremo",AC33="Moderado"),AND(AC31="Extremo",AC32="Extremo",AC33="Alto"),AND(AC31="Extremo",AC32="Extremo",AC33="Extremo"),AND(AC31="Extremo",AC32="Bajo",AC33=""),AND(AC31="Extremo",AC32="Moderado",AC33=""),AND(AC31="Extremo",AC32="Alto",AC33=""),AND(AC31="Extremo",AC32="",AC33="")),"Extremo")))),"")</f>
        <v>Moderado</v>
      </c>
      <c r="AE31" s="150" t="s">
        <v>194</v>
      </c>
      <c r="AF31" s="107"/>
      <c r="AG31" s="107"/>
      <c r="AH31" s="109"/>
      <c r="AI31" s="109"/>
      <c r="AJ31" s="107"/>
      <c r="AK31" s="106"/>
    </row>
    <row r="32" spans="1:37" ht="36" customHeight="1" x14ac:dyDescent="0.2">
      <c r="A32" s="149"/>
      <c r="B32" s="159"/>
      <c r="C32" s="156"/>
      <c r="D32" s="156"/>
      <c r="E32" s="149"/>
      <c r="F32" s="149"/>
      <c r="G32" s="149"/>
      <c r="H32" s="145"/>
      <c r="I32" s="145"/>
      <c r="J32" s="149"/>
      <c r="K32" s="145"/>
      <c r="L32" s="145"/>
      <c r="M32" s="145"/>
      <c r="N32" s="145"/>
      <c r="O32" s="106">
        <v>2</v>
      </c>
      <c r="P32" s="130" t="s">
        <v>261</v>
      </c>
      <c r="Q32" s="110" t="str">
        <f t="shared" si="0"/>
        <v>Probabilidad</v>
      </c>
      <c r="R32" s="108" t="s">
        <v>167</v>
      </c>
      <c r="S32" s="108" t="s">
        <v>175</v>
      </c>
      <c r="T32" s="111" t="str">
        <f t="shared" si="11"/>
        <v>40%</v>
      </c>
      <c r="U32" s="131" t="s">
        <v>178</v>
      </c>
      <c r="V32" s="131" t="s">
        <v>185</v>
      </c>
      <c r="W32" s="131" t="s">
        <v>187</v>
      </c>
      <c r="X32" s="112">
        <f>IFERROR(IF(AND(Q31="Probabilidad",Q32="Probabilidad"),(Z31-(+Z31*T32)),IF(Q32="Probabilidad",(I31-(+I31*T32)),IF(Q32="Impacto",Z31,""))),"")</f>
        <v>0.216</v>
      </c>
      <c r="Y32" s="113" t="str">
        <f t="shared" si="2"/>
        <v>Baja</v>
      </c>
      <c r="Z32" s="111">
        <f t="shared" si="3"/>
        <v>0.216</v>
      </c>
      <c r="AA32" s="113" t="str">
        <f t="shared" si="4"/>
        <v>Moderado</v>
      </c>
      <c r="AB32" s="111">
        <f>IFERROR(IF(AND(Q31="Impacto",Q32="Impacto"),(AB31-(+AB31*T32)),IF(Q32="Impacto",($M$16-(+$M$16*T32)),IF(Q32="Probabilidad",AB31,""))),"")</f>
        <v>0.6</v>
      </c>
      <c r="AC32" s="114" t="str">
        <f t="shared" si="5"/>
        <v>Moderado</v>
      </c>
      <c r="AD32" s="136"/>
      <c r="AE32" s="151"/>
      <c r="AF32" s="107"/>
      <c r="AG32" s="107"/>
      <c r="AH32" s="109"/>
      <c r="AI32" s="109"/>
      <c r="AJ32" s="107"/>
      <c r="AK32" s="106"/>
    </row>
    <row r="33" spans="1:37" ht="48" customHeight="1" x14ac:dyDescent="0.2">
      <c r="A33" s="149"/>
      <c r="B33" s="160"/>
      <c r="C33" s="156"/>
      <c r="D33" s="156"/>
      <c r="E33" s="149"/>
      <c r="F33" s="149"/>
      <c r="G33" s="149"/>
      <c r="H33" s="145"/>
      <c r="I33" s="145"/>
      <c r="J33" s="149"/>
      <c r="K33" s="145"/>
      <c r="L33" s="145"/>
      <c r="M33" s="145"/>
      <c r="N33" s="145"/>
      <c r="O33" s="106">
        <v>3</v>
      </c>
      <c r="P33" s="130" t="s">
        <v>262</v>
      </c>
      <c r="Q33" s="110" t="str">
        <f t="shared" si="0"/>
        <v>Probabilidad</v>
      </c>
      <c r="R33" s="108" t="s">
        <v>167</v>
      </c>
      <c r="S33" s="108" t="s">
        <v>175</v>
      </c>
      <c r="T33" s="111" t="str">
        <f t="shared" si="11"/>
        <v>40%</v>
      </c>
      <c r="U33" s="131" t="s">
        <v>178</v>
      </c>
      <c r="V33" s="131" t="s">
        <v>185</v>
      </c>
      <c r="W33" s="131" t="s">
        <v>187</v>
      </c>
      <c r="X33" s="112">
        <f>IFERROR(IF(AND(Q32="Probabilidad",Q33="Probabilidad"),(Z32-(+Z32*T33)),IF(AND(Q32="Impacto",Q33="Probabilidad"),(Z31-(+Z31*T33)),IF(Q33="Impacto",Z32,""))),"")</f>
        <v>0.12959999999999999</v>
      </c>
      <c r="Y33" s="113" t="str">
        <f t="shared" si="2"/>
        <v>Muy Baja</v>
      </c>
      <c r="Z33" s="111">
        <f t="shared" si="3"/>
        <v>0.12959999999999999</v>
      </c>
      <c r="AA33" s="113" t="str">
        <f t="shared" si="4"/>
        <v>Moderado</v>
      </c>
      <c r="AB33" s="111">
        <f>IFERROR(IF(AND(Q32="Impacto",Q33="Impacto"),(AB32-(+AB32*T33)),IF(AND(Q32="Probabilidad",Q33="Impacto"),(AB31-(+AB31*T33)),IF(Q33="Probabilidad",AB32,""))),"")</f>
        <v>0.6</v>
      </c>
      <c r="AC33" s="114" t="str">
        <f t="shared" si="5"/>
        <v>Moderado</v>
      </c>
      <c r="AD33" s="137"/>
      <c r="AE33" s="152"/>
      <c r="AF33" s="107"/>
      <c r="AG33" s="107"/>
      <c r="AH33" s="109"/>
      <c r="AI33" s="109"/>
      <c r="AJ33" s="107"/>
      <c r="AK33" s="106"/>
    </row>
    <row r="34" spans="1:37" ht="16.5" hidden="1" customHeight="1" x14ac:dyDescent="0.2">
      <c r="A34" s="115"/>
      <c r="B34" s="124"/>
      <c r="C34" s="124"/>
      <c r="D34" s="124"/>
      <c r="E34" s="124"/>
      <c r="F34" s="124"/>
      <c r="G34" s="129"/>
      <c r="H34" s="127" t="str">
        <f>IF(G34&lt;=0,"",IF(G34&lt;=2,"Muy Baja",IF(G34&lt;=24,"Baja",IF(G34&lt;=500,"Media",IF(G34&lt;=5000,"Alta","Muy Alta")))))</f>
        <v/>
      </c>
      <c r="I34" s="126" t="str">
        <f>IF(H34="","",IF(H34="Muy Baja",0.2,IF(H34="Baja",0.4,IF(H34="Media",0.6,IF(H34="Alta",0.8,IF(H34="Muy Alta",1,))))))</f>
        <v/>
      </c>
      <c r="J34" s="125"/>
      <c r="K34" s="126">
        <f ca="1">IF(NOT(ISERROR(MATCH(J34,'Tabla Impacto'!$B$221:$B$223,0))),'Tabla Impacto'!$F$223&amp;"Por favor no seleccionar los criterios de impacto(Afectación Económica o presupuestal y Pérdida Reputacional)",J34)</f>
        <v>0</v>
      </c>
      <c r="L34" s="127" t="str">
        <f ca="1">IF(OR(K34='Tabla Impacto'!$C$11,K34='Tabla Impacto'!$D$11),"Leve",IF(OR(K34='Tabla Impacto'!$C$12,K34='Tabla Impacto'!$D$12),"Menor",IF(OR(K34='Tabla Impacto'!$C$13,K34='Tabla Impacto'!$D$13),"Moderado",IF(OR(K34='Tabla Impacto'!$C$14,K34='Tabla Impacto'!$D$14),"Mayor",IF(OR(K34='Tabla Impacto'!$C$15,K34='Tabla Impacto'!$D$15),"Catastrófico","")))))</f>
        <v/>
      </c>
      <c r="M34" s="126" t="str">
        <f ca="1">IF(L34="","",IF(L34="Leve",0.2,IF(L34="Menor",0.4,IF(L34="Moderado",0.6,IF(L34="Mayor",0.8,IF(L34="Catastrófico",1,))))))</f>
        <v/>
      </c>
      <c r="N34" s="128"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06"/>
      <c r="P34" s="130"/>
      <c r="Q34" s="110" t="str">
        <f t="shared" si="0"/>
        <v/>
      </c>
      <c r="R34" s="108"/>
      <c r="S34" s="108"/>
      <c r="T34" s="111" t="str">
        <f t="shared" si="1"/>
        <v/>
      </c>
      <c r="U34" s="108"/>
      <c r="V34" s="108"/>
      <c r="W34" s="108"/>
      <c r="X34" s="112" t="str">
        <f t="shared" si="7"/>
        <v/>
      </c>
      <c r="Y34" s="113" t="str">
        <f t="shared" si="2"/>
        <v/>
      </c>
      <c r="Z34" s="111" t="str">
        <f t="shared" si="3"/>
        <v/>
      </c>
      <c r="AA34" s="113" t="str">
        <f t="shared" si="4"/>
        <v/>
      </c>
      <c r="AB34" s="111" t="str">
        <f t="shared" si="8"/>
        <v/>
      </c>
      <c r="AC34" s="114" t="str">
        <f t="shared" si="5"/>
        <v/>
      </c>
      <c r="AD34" s="123"/>
      <c r="AE34" s="108"/>
      <c r="AF34" s="107"/>
      <c r="AG34" s="107"/>
      <c r="AH34" s="109"/>
      <c r="AI34" s="109"/>
      <c r="AJ34" s="107"/>
      <c r="AK34" s="106"/>
    </row>
    <row r="35" spans="1:37" ht="10.5" hidden="1" customHeight="1" x14ac:dyDescent="0.2">
      <c r="A35" s="115"/>
      <c r="B35" s="124"/>
      <c r="C35" s="124"/>
      <c r="D35" s="124"/>
      <c r="E35" s="124"/>
      <c r="F35" s="124"/>
      <c r="G35" s="129"/>
      <c r="H35" s="127" t="str">
        <f>IF(G35&lt;=0,"",IF(G35&lt;=2,"Muy Baja",IF(G35&lt;=24,"Baja",IF(G35&lt;=500,"Media",IF(G35&lt;=5000,"Alta","Muy Alta")))))</f>
        <v/>
      </c>
      <c r="I35" s="126" t="str">
        <f>IF(H35="","",IF(H35="Muy Baja",0.2,IF(H35="Baja",0.4,IF(H35="Media",0.6,IF(H35="Alta",0.8,IF(H35="Muy Alta",1,))))))</f>
        <v/>
      </c>
      <c r="J35" s="125"/>
      <c r="K35" s="126">
        <f ca="1">IF(NOT(ISERROR(MATCH(J35,'Tabla Impacto'!$B$221:$B$223,0))),'Tabla Impacto'!$F$223&amp;"Por favor no seleccionar los criterios de impacto(Afectación Económica o presupuestal y Pérdida Reputacional)",J35)</f>
        <v>0</v>
      </c>
      <c r="L35" s="127" t="str">
        <f ca="1">IF(OR(K35='Tabla Impacto'!$C$11,K35='Tabla Impacto'!$D$11),"Leve",IF(OR(K35='Tabla Impacto'!$C$12,K35='Tabla Impacto'!$D$12),"Menor",IF(OR(K35='Tabla Impacto'!$C$13,K35='Tabla Impacto'!$D$13),"Moderado",IF(OR(K35='Tabla Impacto'!$C$14,K35='Tabla Impacto'!$D$14),"Mayor",IF(OR(K35='Tabla Impacto'!$C$15,K35='Tabla Impacto'!$D$15),"Catastrófico","")))))</f>
        <v/>
      </c>
      <c r="M35" s="126" t="str">
        <f ca="1">IF(L35="","",IF(L35="Leve",0.2,IF(L35="Menor",0.4,IF(L35="Moderado",0.6,IF(L35="Mayor",0.8,IF(L35="Catastrófico",1,))))))</f>
        <v/>
      </c>
      <c r="N35" s="128" t="str">
        <f ca="1">IF(OR(AND(H35="Muy Baja",L35="Leve"),AND(H35="Muy Baja",L35="Menor"),AND(H35="Baja",L35="Leve")),"Bajo",IF(OR(AND(H35="Muy baja",L35="Moderado"),AND(H35="Baja",L35="Menor"),AND(H35="Baja",L35="Moderado"),AND(H35="Media",L35="Leve"),AND(H35="Media",L35="Menor"),AND(H35="Media",L35="Moderado"),AND(H35="Alta",L35="Leve"),AND(H35="Alta",L35="Menor")),"Moderado",IF(OR(AND(H35="Muy Baja",L35="Mayor"),AND(H35="Baja",L35="Mayor"),AND(H35="Media",L35="Mayor"),AND(H35="Alta",L35="Moderado"),AND(H35="Alta",L35="Mayor"),AND(H35="Muy Alta",L35="Leve"),AND(H35="Muy Alta",L35="Menor"),AND(H35="Muy Alta",L35="Moderado"),AND(H35="Muy Alta",L35="Mayor")),"Alto",IF(OR(AND(H35="Muy Baja",L35="Catastrófico"),AND(H35="Baja",L35="Catastrófico"),AND(H35="Media",L35="Catastrófico"),AND(H35="Alta",L35="Catastrófico"),AND(H35="Muy Alta",L35="Catastrófico")),"Extremo",""))))</f>
        <v/>
      </c>
      <c r="O35" s="106"/>
      <c r="P35" s="130"/>
      <c r="Q35" s="110" t="str">
        <f t="shared" si="0"/>
        <v/>
      </c>
      <c r="R35" s="108"/>
      <c r="S35" s="108"/>
      <c r="T35" s="111" t="str">
        <f t="shared" si="1"/>
        <v/>
      </c>
      <c r="U35" s="108"/>
      <c r="V35" s="108"/>
      <c r="W35" s="108"/>
      <c r="X35" s="112" t="str">
        <f t="shared" si="7"/>
        <v/>
      </c>
      <c r="Y35" s="113" t="str">
        <f t="shared" si="2"/>
        <v/>
      </c>
      <c r="Z35" s="111" t="str">
        <f t="shared" si="3"/>
        <v/>
      </c>
      <c r="AA35" s="113" t="str">
        <f t="shared" si="4"/>
        <v/>
      </c>
      <c r="AB35" s="111" t="str">
        <f t="shared" si="8"/>
        <v/>
      </c>
      <c r="AC35" s="114" t="str">
        <f t="shared" si="5"/>
        <v/>
      </c>
      <c r="AD35" s="121"/>
      <c r="AE35" s="108"/>
      <c r="AF35" s="107"/>
      <c r="AG35" s="107"/>
      <c r="AH35" s="109"/>
      <c r="AI35" s="109"/>
      <c r="AJ35" s="107"/>
      <c r="AK35" s="106"/>
    </row>
    <row r="36" spans="1:37" ht="122.25" customHeight="1" x14ac:dyDescent="0.2">
      <c r="A36" s="157">
        <v>5</v>
      </c>
      <c r="B36" s="158" t="s">
        <v>197</v>
      </c>
      <c r="C36" s="156" t="s">
        <v>249</v>
      </c>
      <c r="D36" s="156" t="s">
        <v>263</v>
      </c>
      <c r="E36" s="156" t="s">
        <v>264</v>
      </c>
      <c r="F36" s="156" t="s">
        <v>203</v>
      </c>
      <c r="G36" s="157">
        <v>12</v>
      </c>
      <c r="H36" s="144" t="str">
        <f>IF(G36&lt;=0,"",IF(G36&lt;=2,"Muy Baja",IF(G36&lt;=24,"Baja",IF(G36&lt;=500,"Media",IF(G36&lt;=5000,"Alta","Muy Alta")))))</f>
        <v>Baja</v>
      </c>
      <c r="I36" s="146">
        <f>IF(H36="","",IF(H36="Muy Baja",0.2,IF(H36="Baja",0.4,IF(H36="Media",0.6,IF(H36="Alta",0.8,IF(H36="Muy Alta",1,))))))</f>
        <v>0.4</v>
      </c>
      <c r="J36" s="148" t="s">
        <v>150</v>
      </c>
      <c r="K36" s="146" t="str">
        <f>IF(NOT(ISERROR(MATCH(J36,'[1]Tabla Impacto'!$B$221:$B$223,0))),'[1]Tabla Impacto'!$F$223&amp;"Por favor no seleccionar los criterios de impacto(Afectación Económica o presupuestal y Pérdida Reputacional)",J36)</f>
        <v xml:space="preserve">     Entre 50 y 100 SMLMV </v>
      </c>
      <c r="L36" s="144" t="str">
        <f>IF(OR(K36='[1]Tabla Impacto'!$C$11,K36='[1]Tabla Impacto'!$D$11),"Leve",IF(OR(K36='[1]Tabla Impacto'!$C$12,K36='[1]Tabla Impacto'!$D$12),"Menor",IF(OR(K36='[1]Tabla Impacto'!$C$13,K36='[1]Tabla Impacto'!$D$13),"Moderado",IF(OR(K36='[1]Tabla Impacto'!$C$14,K36='[1]Tabla Impacto'!$D$14),"Mayor",IF(OR(K36='[1]Tabla Impacto'!$C$15,K36='[1]Tabla Impacto'!$D$15),"Catastrófico","")))))</f>
        <v>Moderado</v>
      </c>
      <c r="M36" s="146">
        <f>IF(L36="","",IF(L36="Leve",0.2,IF(L36="Menor",0.4,IF(L36="Moderado",0.6,IF(L36="Mayor",0.8,IF(L36="Catastrófico",1,))))))</f>
        <v>0.6</v>
      </c>
      <c r="N36" s="147" t="str">
        <f>IF(OR(AND(H36="Muy Baja",L36="Leve"),AND(H36="Muy Baja",L36="Menor"),AND(H36="Baja",L36="Leve")),"Bajo",IF(OR(AND(H36="Muy baja",L36="Moderado"),AND(H36="Baja",L36="Menor"),AND(H36="Baja",L36="Moderado"),AND(H36="Media",L36="Leve"),AND(H36="Media",L36="Menor"),AND(H36="Media",L36="Moderado"),AND(H36="Alta",L36="Leve"),AND(H36="Alta",L36="Menor")),"Moderado",IF(OR(AND(H36="Muy Baja",L36="Mayor"),AND(H36="Baja",L36="Mayor"),AND(H36="Media",L36="Mayor"),AND(H36="Alta",L36="Moderado"),AND(H36="Alta",L36="Mayor"),AND(H36="Muy Alta",L36="Leve"),AND(H36="Muy Alta",L36="Menor"),AND(H36="Muy Alta",L36="Moderado"),AND(H36="Muy Alta",L36="Mayor")),"Alto",IF(OR(AND(H36="Muy Baja",L36="Catastrófico"),AND(H36="Baja",L36="Catastrófico"),AND(H36="Media",L36="Catastrófico"),AND(H36="Alta",L36="Catastrófico"),AND(H36="Muy Alta",L36="Catastrófico")),"Extremo",""))))</f>
        <v>Moderado</v>
      </c>
      <c r="O36" s="106">
        <v>1</v>
      </c>
      <c r="P36" s="130" t="s">
        <v>270</v>
      </c>
      <c r="Q36" s="110" t="str">
        <f t="shared" si="0"/>
        <v>Probabilidad</v>
      </c>
      <c r="R36" s="108" t="s">
        <v>169</v>
      </c>
      <c r="S36" s="108" t="s">
        <v>173</v>
      </c>
      <c r="T36" s="111" t="str">
        <f t="shared" ref="T36:T38" si="12">IF(AND(R36="Preventivo",S36="Automático"),"50%",IF(AND(R36="Preventivo",S36="Manual"),"40%",IF(AND(R36="Detectivo",S36="Automático"),"40%",IF(AND(R36="Detectivo",S36="Manual"),"30%",IF(AND(R36="Correctivo",S36="Automático"),"35%",IF(AND(R36="Correctivo",S36="Manual"),"25%",""))))))</f>
        <v>40%</v>
      </c>
      <c r="U36" s="131" t="s">
        <v>181</v>
      </c>
      <c r="V36" s="131" t="s">
        <v>183</v>
      </c>
      <c r="W36" s="131" t="s">
        <v>189</v>
      </c>
      <c r="X36" s="112">
        <f>IFERROR(IF(Q36="Probabilidad",(I36-(+I36*T36)),IF(Q36="Impacto",I36,"")),"")</f>
        <v>0.24</v>
      </c>
      <c r="Y36" s="113" t="str">
        <f t="shared" si="2"/>
        <v>Baja</v>
      </c>
      <c r="Z36" s="111">
        <f t="shared" si="3"/>
        <v>0.24</v>
      </c>
      <c r="AA36" s="113" t="str">
        <f t="shared" si="4"/>
        <v>Moderado</v>
      </c>
      <c r="AB36" s="111">
        <f>IFERROR(IF(Q36="Impacto",(M36-(+M36*T36)),IF(Q36="Probabilidad",M36,"")),"")</f>
        <v>0.6</v>
      </c>
      <c r="AC36" s="114" t="str">
        <f t="shared" si="5"/>
        <v>Moderado</v>
      </c>
      <c r="AD36" s="135" t="str">
        <f>IFERROR(IF(OR(AND(AC36="Bajo",AC37="Bajo",AC38="Bajo"),AND(AC36="Bajo",AC37="Bajo",AC38=""),AND(AC36="Bajo",AC37="",AC38="")),"Bajo",IF(OR(AND(AC36="Bajo",AC37="Bajo",AC38="Moderado"),AND(AC36="Bajo",AC37="Moderado",AC38="Moderado"),AND(AC36="Moderado",AC37="Moderado",AC38="Moderado"),AND(AC36="Bajo",AC37="Moderado",AC38=""),AND(AC36="Moderado",AC37="Bajo",AC38=""),AND(AC36="Moderado",AC37="Moderado",AC38=""),AND(AC36="Moderado",AC37="",AC38="")),"Moderado",IF(OR(AND(AC36="Bajo",AC37="Bajo",AC38="Alto"),AND(AC36="Bajo",AC37="Moderado",AC38="Alto"),AND(AC36="Moderado",AC37="Bajo",AC38="Alto"),AND(AC36="Moderado",AC37="Alto",AC38="Bajo"),AND(AC36="Moderado",AC37="Moderado",AC38="Alto"),AND(AC36="Alto",AC37="Bajo",AC38="Bajo"),AND(AC36="Alto",AC37="Moderado",AC38="Bajo"),AND(AC36="Alto",AC37="Moderado",AC38="Moderado"),AND(AC36="Alto",AC37="Alto",AC38="Bajo"),AND(AC36="Alto",AC37="Alto",AC38="Moderado"),AND(AC36="Alto",AC37="Alto",AC38="Alto"),AND(AC36="Alto",AC37="Bajo",AC38=""),AND(AC36="Alto",AC37="Moderado",AC38=""),AND(AC36="Alto",AC37="Alto",AC38=""),AND(AC36="Bajo",AC37="Alto",AC38=""),AND(AC36="Moderado",AC37="Alto",AC38=""),AND(AC36="Alto",AC37="",AC38="")),"Alto",IF(OR(AND(AC36="Bajo",AC37="Bajo",AC38="Extremo"),AND(AC36="Bajo",AC37="Moderado",AC38="Extremo"),AND(AC36="Bajo",AC37="Alto",AC38="Extremo"),AND(AC36="Moderado",AC37="Bajo",AC38="Extremo"),AND(AC36="Moderado",AC37="Alto",AC38="Extremo"),AND(AC36="Moderado",AC37="Moderado",AC38="Extremo"),AND(AC36="Alto",AC37="Bajo",AC38="Extremo"),AND(AC36="Alto",AC37="Moderado",AC38="Extremo"),AND(AC36="Alto",AC37="Alto",AC38="Extremo"),AND(AC36="Extremo",AC37="Bajo",AC38="Bajo"),AND(AC36="Extremo",AC37="Bajo",AC38="Moderado"),AND(AC36="Extremo",AC37="Bajo",AC38="Alto"),AND(AC36="Extremo",AC37="Moderado",AC38="Bajo"),AND(AC36="Extremo",AC37="Moderado",AC38="Moderado"),AND(AC36="Extremo",AC37="Moderado",AC38="Alto"),AND(AC36="Extremo",AC37="Alto",AC38="Bajo"),AND(AC36="Extremo",AC37="Alto",AC38="Moderado"),AND(AC36="Extremo",AC37="Alto",AC38="Alto"),AND(AC36="Extremo",AC37="Extremo",AC38="Bajo"),AND(AC36="Extremo",AC37="Extremo",AC38="Moderado"),AND(AC36="Extremo",AC37="Extremo",AC38="Alto"),AND(AC36="Extremo",AC37="Extremo",AC38="Extremo"),AND(AC36="Extremo",AC37="Bajo",AC38=""),AND(AC36="Extremo",AC37="Moderado",AC38=""),AND(AC36="Extremo",AC37="Alto",AC38=""),AND(AC36="Extremo",AC37="",AC38="")),"Extremo")))),"")</f>
        <v>Moderado</v>
      </c>
      <c r="AE36" s="150" t="s">
        <v>194</v>
      </c>
      <c r="AF36" s="107"/>
      <c r="AG36" s="107"/>
      <c r="AH36" s="109"/>
      <c r="AI36" s="109"/>
      <c r="AJ36" s="107"/>
      <c r="AK36" s="106"/>
    </row>
    <row r="37" spans="1:37" hidden="1" x14ac:dyDescent="0.2">
      <c r="A37" s="149"/>
      <c r="B37" s="159"/>
      <c r="C37" s="156"/>
      <c r="D37" s="156"/>
      <c r="E37" s="149"/>
      <c r="F37" s="149"/>
      <c r="G37" s="149"/>
      <c r="H37" s="145"/>
      <c r="I37" s="145"/>
      <c r="J37" s="149"/>
      <c r="K37" s="145"/>
      <c r="L37" s="145"/>
      <c r="M37" s="145"/>
      <c r="N37" s="145"/>
      <c r="O37" s="106">
        <v>2</v>
      </c>
      <c r="P37" s="130"/>
      <c r="Q37" s="110" t="str">
        <f t="shared" si="0"/>
        <v/>
      </c>
      <c r="R37" s="108"/>
      <c r="S37" s="108"/>
      <c r="T37" s="111" t="str">
        <f t="shared" si="12"/>
        <v/>
      </c>
      <c r="U37" s="131"/>
      <c r="V37" s="131"/>
      <c r="W37" s="131"/>
      <c r="X37" s="112" t="str">
        <f>IFERROR(IF(AND(Q36="Probabilidad",Q37="Probabilidad"),(Z36-(+Z36*T37)),IF(Q37="Probabilidad",(I36-(+I36*T37)),IF(Q37="Impacto",Z36,""))),"")</f>
        <v/>
      </c>
      <c r="Y37" s="113" t="str">
        <f t="shared" si="2"/>
        <v/>
      </c>
      <c r="Z37" s="111" t="str">
        <f t="shared" si="3"/>
        <v/>
      </c>
      <c r="AA37" s="113" t="str">
        <f t="shared" si="4"/>
        <v/>
      </c>
      <c r="AB37" s="111" t="str">
        <f>IFERROR(IF(AND(Q36="Impacto",Q37="Impacto"),(AB36-(+AB36*T37)),IF(Q37="Impacto",($M$16-(+$M$16*T37)),IF(Q37="Probabilidad",AB36,""))),"")</f>
        <v/>
      </c>
      <c r="AC37" s="114" t="str">
        <f t="shared" si="5"/>
        <v/>
      </c>
      <c r="AD37" s="136"/>
      <c r="AE37" s="151"/>
      <c r="AF37" s="107"/>
      <c r="AG37" s="107"/>
      <c r="AH37" s="109"/>
      <c r="AI37" s="109"/>
      <c r="AJ37" s="107"/>
      <c r="AK37" s="106"/>
    </row>
    <row r="38" spans="1:37" hidden="1" x14ac:dyDescent="0.2">
      <c r="A38" s="149"/>
      <c r="B38" s="160"/>
      <c r="C38" s="156"/>
      <c r="D38" s="156"/>
      <c r="E38" s="149"/>
      <c r="F38" s="149"/>
      <c r="G38" s="149"/>
      <c r="H38" s="145"/>
      <c r="I38" s="145"/>
      <c r="J38" s="149"/>
      <c r="K38" s="145"/>
      <c r="L38" s="145"/>
      <c r="M38" s="145"/>
      <c r="N38" s="145"/>
      <c r="O38" s="106">
        <v>3</v>
      </c>
      <c r="P38" s="130"/>
      <c r="Q38" s="110" t="str">
        <f t="shared" si="0"/>
        <v/>
      </c>
      <c r="R38" s="108"/>
      <c r="S38" s="108"/>
      <c r="T38" s="111" t="str">
        <f t="shared" si="12"/>
        <v/>
      </c>
      <c r="U38" s="131"/>
      <c r="V38" s="131"/>
      <c r="W38" s="131"/>
      <c r="X38" s="112" t="str">
        <f>IFERROR(IF(AND(Q37="Probabilidad",Q38="Probabilidad"),(Z37-(+Z37*T38)),IF(AND(Q37="Impacto",Q38="Probabilidad"),(Z36-(+Z36*T38)),IF(Q38="Impacto",Z37,""))),"")</f>
        <v/>
      </c>
      <c r="Y38" s="113" t="str">
        <f t="shared" si="2"/>
        <v/>
      </c>
      <c r="Z38" s="111" t="str">
        <f t="shared" si="3"/>
        <v/>
      </c>
      <c r="AA38" s="113" t="str">
        <f t="shared" si="4"/>
        <v/>
      </c>
      <c r="AB38" s="111" t="str">
        <f>IFERROR(IF(AND(Q37="Impacto",Q38="Impacto"),(AB37-(+AB37*T38)),IF(AND(Q37="Probabilidad",Q38="Impacto"),(AB36-(+AB36*T38)),IF(Q38="Probabilidad",AB37,""))),"")</f>
        <v/>
      </c>
      <c r="AC38" s="114" t="str">
        <f t="shared" si="5"/>
        <v/>
      </c>
      <c r="AD38" s="137"/>
      <c r="AE38" s="152"/>
      <c r="AF38" s="107"/>
      <c r="AG38" s="107"/>
      <c r="AH38" s="109"/>
      <c r="AI38" s="109"/>
      <c r="AJ38" s="107"/>
      <c r="AK38" s="106"/>
    </row>
    <row r="39" spans="1:37" ht="16.5" hidden="1" customHeight="1" x14ac:dyDescent="0.2">
      <c r="A39" s="115"/>
      <c r="B39" s="124"/>
      <c r="C39" s="124"/>
      <c r="D39" s="124"/>
      <c r="E39" s="124"/>
      <c r="F39" s="124"/>
      <c r="G39" s="129"/>
      <c r="H39" s="127" t="str">
        <f>IF(G39&lt;=0,"",IF(G39&lt;=2,"Muy Baja",IF(G39&lt;=24,"Baja",IF(G39&lt;=500,"Media",IF(G39&lt;=5000,"Alta","Muy Alta")))))</f>
        <v/>
      </c>
      <c r="I39" s="126" t="str">
        <f>IF(H39="","",IF(H39="Muy Baja",0.2,IF(H39="Baja",0.4,IF(H39="Media",0.6,IF(H39="Alta",0.8,IF(H39="Muy Alta",1,))))))</f>
        <v/>
      </c>
      <c r="J39" s="125"/>
      <c r="K39" s="126">
        <f ca="1">IF(NOT(ISERROR(MATCH(J39,'Tabla Impacto'!$B$221:$B$223,0))),'Tabla Impacto'!$F$223&amp;"Por favor no seleccionar los criterios de impacto(Afectación Económica o presupuestal y Pérdida Reputacional)",J39)</f>
        <v>0</v>
      </c>
      <c r="L39" s="127" t="str">
        <f ca="1">IF(OR(K39='Tabla Impacto'!$C$11,K39='Tabla Impacto'!$D$11),"Leve",IF(OR(K39='Tabla Impacto'!$C$12,K39='Tabla Impacto'!$D$12),"Menor",IF(OR(K39='Tabla Impacto'!$C$13,K39='Tabla Impacto'!$D$13),"Moderado",IF(OR(K39='Tabla Impacto'!$C$14,K39='Tabla Impacto'!$D$14),"Mayor",IF(OR(K39='Tabla Impacto'!$C$15,K39='Tabla Impacto'!$D$15),"Catastrófico","")))))</f>
        <v/>
      </c>
      <c r="M39" s="126" t="str">
        <f ca="1">IF(L39="","",IF(L39="Leve",0.2,IF(L39="Menor",0.4,IF(L39="Moderado",0.6,IF(L39="Mayor",0.8,IF(L39="Catastrófico",1,))))))</f>
        <v/>
      </c>
      <c r="N39" s="128" t="str">
        <f ca="1">IF(OR(AND(H39="Muy Baja",L39="Leve"),AND(H39="Muy Baja",L39="Menor"),AND(H39="Baja",L39="Leve")),"Bajo",IF(OR(AND(H39="Muy baja",L39="Moderado"),AND(H39="Baja",L39="Menor"),AND(H39="Baja",L39="Moderado"),AND(H39="Media",L39="Leve"),AND(H39="Media",L39="Menor"),AND(H39="Media",L39="Moderado"),AND(H39="Alta",L39="Leve"),AND(H39="Alta",L39="Menor")),"Moderado",IF(OR(AND(H39="Muy Baja",L39="Mayor"),AND(H39="Baja",L39="Mayor"),AND(H39="Media",L39="Mayor"),AND(H39="Alta",L39="Moderado"),AND(H39="Alta",L39="Mayor"),AND(H39="Muy Alta",L39="Leve"),AND(H39="Muy Alta",L39="Menor"),AND(H39="Muy Alta",L39="Moderado"),AND(H39="Muy Alta",L39="Mayor")),"Alto",IF(OR(AND(H39="Muy Baja",L39="Catastrófico"),AND(H39="Baja",L39="Catastrófico"),AND(H39="Media",L39="Catastrófico"),AND(H39="Alta",L39="Catastrófico"),AND(H39="Muy Alta",L39="Catastrófico")),"Extremo",""))))</f>
        <v/>
      </c>
      <c r="O39" s="106"/>
      <c r="P39" s="130"/>
      <c r="Q39" s="110" t="str">
        <f t="shared" si="0"/>
        <v/>
      </c>
      <c r="R39" s="108"/>
      <c r="S39" s="108"/>
      <c r="T39" s="111" t="str">
        <f t="shared" si="1"/>
        <v/>
      </c>
      <c r="U39" s="108"/>
      <c r="V39" s="108"/>
      <c r="W39" s="108"/>
      <c r="X39" s="112" t="str">
        <f t="shared" si="7"/>
        <v/>
      </c>
      <c r="Y39" s="113" t="str">
        <f t="shared" si="2"/>
        <v/>
      </c>
      <c r="Z39" s="111" t="str">
        <f t="shared" si="3"/>
        <v/>
      </c>
      <c r="AA39" s="113" t="str">
        <f t="shared" si="4"/>
        <v/>
      </c>
      <c r="AB39" s="111" t="str">
        <f t="shared" si="8"/>
        <v/>
      </c>
      <c r="AC39" s="114" t="str">
        <f t="shared" si="5"/>
        <v/>
      </c>
      <c r="AD39" s="123"/>
      <c r="AE39" s="108"/>
      <c r="AF39" s="107"/>
      <c r="AG39" s="107"/>
      <c r="AH39" s="109"/>
      <c r="AI39" s="109"/>
      <c r="AJ39" s="107"/>
      <c r="AK39" s="106"/>
    </row>
    <row r="40" spans="1:37" ht="16.5" hidden="1" customHeight="1" x14ac:dyDescent="0.2">
      <c r="A40" s="115"/>
      <c r="B40" s="124"/>
      <c r="C40" s="124"/>
      <c r="D40" s="124"/>
      <c r="E40" s="124"/>
      <c r="F40" s="124"/>
      <c r="G40" s="129"/>
      <c r="H40" s="127" t="str">
        <f>IF(G40&lt;=0,"",IF(G40&lt;=2,"Muy Baja",IF(G40&lt;=24,"Baja",IF(G40&lt;=500,"Media",IF(G40&lt;=5000,"Alta","Muy Alta")))))</f>
        <v/>
      </c>
      <c r="I40" s="126" t="str">
        <f>IF(H40="","",IF(H40="Muy Baja",0.2,IF(H40="Baja",0.4,IF(H40="Media",0.6,IF(H40="Alta",0.8,IF(H40="Muy Alta",1,))))))</f>
        <v/>
      </c>
      <c r="J40" s="125"/>
      <c r="K40" s="126">
        <f ca="1">IF(NOT(ISERROR(MATCH(J40,'Tabla Impacto'!$B$221:$B$223,0))),'Tabla Impacto'!$F$223&amp;"Por favor no seleccionar los criterios de impacto(Afectación Económica o presupuestal y Pérdida Reputacional)",J40)</f>
        <v>0</v>
      </c>
      <c r="L40" s="127" t="str">
        <f ca="1">IF(OR(K40='Tabla Impacto'!$C$11,K40='Tabla Impacto'!$D$11),"Leve",IF(OR(K40='Tabla Impacto'!$C$12,K40='Tabla Impacto'!$D$12),"Menor",IF(OR(K40='Tabla Impacto'!$C$13,K40='Tabla Impacto'!$D$13),"Moderado",IF(OR(K40='Tabla Impacto'!$C$14,K40='Tabla Impacto'!$D$14),"Mayor",IF(OR(K40='Tabla Impacto'!$C$15,K40='Tabla Impacto'!$D$15),"Catastrófico","")))))</f>
        <v/>
      </c>
      <c r="M40" s="126" t="str">
        <f ca="1">IF(L40="","",IF(L40="Leve",0.2,IF(L40="Menor",0.4,IF(L40="Moderado",0.6,IF(L40="Mayor",0.8,IF(L40="Catastrófico",1,))))))</f>
        <v/>
      </c>
      <c r="N40" s="128"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06"/>
      <c r="P40" s="130"/>
      <c r="Q40" s="110" t="str">
        <f t="shared" si="0"/>
        <v/>
      </c>
      <c r="R40" s="108"/>
      <c r="S40" s="108"/>
      <c r="T40" s="111" t="str">
        <f t="shared" si="1"/>
        <v/>
      </c>
      <c r="U40" s="108"/>
      <c r="V40" s="108"/>
      <c r="W40" s="108"/>
      <c r="X40" s="112" t="str">
        <f t="shared" si="7"/>
        <v/>
      </c>
      <c r="Y40" s="113" t="str">
        <f t="shared" si="2"/>
        <v/>
      </c>
      <c r="Z40" s="111" t="str">
        <f t="shared" si="3"/>
        <v/>
      </c>
      <c r="AA40" s="113" t="str">
        <f t="shared" si="4"/>
        <v/>
      </c>
      <c r="AB40" s="111" t="str">
        <f t="shared" si="8"/>
        <v/>
      </c>
      <c r="AC40" s="114" t="str">
        <f t="shared" si="5"/>
        <v/>
      </c>
      <c r="AD40" s="121"/>
      <c r="AE40" s="108"/>
      <c r="AF40" s="107"/>
      <c r="AG40" s="107"/>
      <c r="AH40" s="109"/>
      <c r="AI40" s="109"/>
      <c r="AJ40" s="107"/>
      <c r="AK40" s="106"/>
    </row>
    <row r="41" spans="1:37" ht="134.25" customHeight="1" x14ac:dyDescent="0.2">
      <c r="A41" s="157">
        <v>6</v>
      </c>
      <c r="B41" s="158" t="s">
        <v>197</v>
      </c>
      <c r="C41" s="156" t="s">
        <v>249</v>
      </c>
      <c r="D41" s="156" t="s">
        <v>265</v>
      </c>
      <c r="E41" s="156" t="s">
        <v>266</v>
      </c>
      <c r="F41" s="156" t="s">
        <v>203</v>
      </c>
      <c r="G41" s="157">
        <v>30</v>
      </c>
      <c r="H41" s="144" t="str">
        <f>IF(G41&lt;=0,"",IF(G41&lt;=2,"Muy Baja",IF(G41&lt;=24,"Baja",IF(G41&lt;=500,"Media",IF(G41&lt;=5000,"Alta","Muy Alta")))))</f>
        <v>Media</v>
      </c>
      <c r="I41" s="146">
        <f>IF(H41="","",IF(H41="Muy Baja",0.2,IF(H41="Baja",0.4,IF(H41="Media",0.6,IF(H41="Alta",0.8,IF(H41="Muy Alta",1,))))))</f>
        <v>0.6</v>
      </c>
      <c r="J41" s="148" t="s">
        <v>146</v>
      </c>
      <c r="K41" s="146" t="str">
        <f>IF(NOT(ISERROR(MATCH(J41,'[1]Tabla Impacto'!$B$221:$B$223,0))),'[1]Tabla Impacto'!$F$223&amp;"Por favor no seleccionar los criterios de impacto(Afectación Económica o presupuestal y Pérdida Reputacional)",J41)</f>
        <v xml:space="preserve">     El riesgo afecta la imagen de alguna área de la organización</v>
      </c>
      <c r="L41" s="144" t="str">
        <f>IF(OR(K41='[1]Tabla Impacto'!$C$11,K41='[1]Tabla Impacto'!$D$11),"Leve",IF(OR(K41='[1]Tabla Impacto'!$C$12,K41='[1]Tabla Impacto'!$D$12),"Menor",IF(OR(K41='[1]Tabla Impacto'!$C$13,K41='[1]Tabla Impacto'!$D$13),"Moderado",IF(OR(K41='[1]Tabla Impacto'!$C$14,K41='[1]Tabla Impacto'!$D$14),"Mayor",IF(OR(K41='[1]Tabla Impacto'!$C$15,K41='[1]Tabla Impacto'!$D$15),"Catastrófico","")))))</f>
        <v>Leve</v>
      </c>
      <c r="M41" s="146">
        <f>IF(L41="","",IF(L41="Leve",0.2,IF(L41="Menor",0.4,IF(L41="Moderado",0.6,IF(L41="Mayor",0.8,IF(L41="Catastrófico",1,))))))</f>
        <v>0.2</v>
      </c>
      <c r="N41" s="147" t="str">
        <f>IF(OR(AND(H41="Muy Baja",L41="Leve"),AND(H41="Muy Baja",L41="Menor"),AND(H41="Baja",L41="Leve")),"Bajo",IF(OR(AND(H41="Muy baja",L41="Moderado"),AND(H41="Baja",L41="Menor"),AND(H41="Baja",L41="Moderado"),AND(H41="Media",L41="Leve"),AND(H41="Media",L41="Menor"),AND(H41="Media",L41="Moderado"),AND(H41="Alta",L41="Leve"),AND(H41="Alta",L41="Menor")),"Moderado",IF(OR(AND(H41="Muy Baja",L41="Mayor"),AND(H41="Baja",L41="Mayor"),AND(H41="Media",L41="Mayor"),AND(H41="Alta",L41="Moderado"),AND(H41="Alta",L41="Mayor"),AND(H41="Muy Alta",L41="Leve"),AND(H41="Muy Alta",L41="Menor"),AND(H41="Muy Alta",L41="Moderado"),AND(H41="Muy Alta",L41="Mayor")),"Alto",IF(OR(AND(H41="Muy Baja",L41="Catastrófico"),AND(H41="Baja",L41="Catastrófico"),AND(H41="Media",L41="Catastrófico"),AND(H41="Alta",L41="Catastrófico"),AND(H41="Muy Alta",L41="Catastrófico")),"Extremo",""))))</f>
        <v>Moderado</v>
      </c>
      <c r="O41" s="133">
        <v>1</v>
      </c>
      <c r="P41" s="130" t="s">
        <v>272</v>
      </c>
      <c r="Q41" s="110" t="str">
        <f t="shared" ref="Q41:Q43" si="13">IF(OR(R41="Preventivo",R41="Detectivo"),"Probabilidad",IF(R41="Correctivo","Impacto",""))</f>
        <v>Probabilidad</v>
      </c>
      <c r="R41" s="108" t="s">
        <v>167</v>
      </c>
      <c r="S41" s="108" t="s">
        <v>175</v>
      </c>
      <c r="T41" s="111" t="str">
        <f t="shared" si="1"/>
        <v>40%</v>
      </c>
      <c r="U41" s="131" t="s">
        <v>178</v>
      </c>
      <c r="V41" s="131" t="s">
        <v>185</v>
      </c>
      <c r="W41" s="131" t="s">
        <v>187</v>
      </c>
      <c r="X41" s="112">
        <f>IFERROR(IF(Q41="Probabilidad",(I41-(+I41*T41)),IF(Q41="Impacto",I41,"")),"")</f>
        <v>0.36</v>
      </c>
      <c r="Y41" s="113" t="str">
        <f t="shared" ref="Y41:Y43" si="14">IFERROR(IF(X41="","",IF(X41&lt;=0.2,"Muy Baja",IF(X41&lt;=0.4,"Baja",IF(X41&lt;=0.6,"Media",IF(X41&lt;=0.8,"Alta","Muy Alta"))))),"")</f>
        <v>Baja</v>
      </c>
      <c r="Z41" s="111">
        <f t="shared" ref="Z41:Z43" si="15">+X41</f>
        <v>0.36</v>
      </c>
      <c r="AA41" s="113" t="str">
        <f t="shared" ref="AA41:AA43" si="16">IFERROR(IF(AB41="","",IF(AB41&lt;=0.2,"Leve",IF(AB41&lt;=0.4,"Menor",IF(AB41&lt;=0.6,"Moderado",IF(AB41&lt;=0.8,"Mayor","Catastrófico"))))),"")</f>
        <v>Leve</v>
      </c>
      <c r="AB41" s="111">
        <f>IFERROR(IF(Q41="Impacto",(M41-(+M41*T41)),IF(Q41="Probabilidad",M41,"")),"")</f>
        <v>0.2</v>
      </c>
      <c r="AC41" s="114" t="str">
        <f t="shared" ref="AC41:AC43" si="17">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Bajo</v>
      </c>
      <c r="AD41" s="135" t="str">
        <f>IFERROR(IF(OR(AND(AC41="Bajo",AC42="Bajo",AC43="Bajo"),AND(AC41="Bajo",AC42="Bajo",AC43=""),AND(AC41="Bajo",AC42="",AC43="")),"Bajo",IF(OR(AND(AC41="Bajo",AC42="Bajo",AC43="Moderado"),AND(AC41="Bajo",AC42="Moderado",AC43="Moderado"),AND(AC41="Moderado",AC42="Moderado",AC43="Moderado"),AND(AC41="Bajo",AC42="Moderado",AC43=""),AND(AC41="Moderado",AC42="Bajo",AC43=""),AND(AC41="Moderado",AC42="Moderado",AC43=""),AND(AC41="Moderado",AC42="",AC43="")),"Moderado",IF(OR(AND(AC41="Bajo",AC42="Bajo",AC43="Alto"),AND(AC41="Bajo",AC42="Moderado",AC43="Alto"),AND(AC41="Moderado",AC42="Bajo",AC43="Alto"),AND(AC41="Moderado",AC42="Alto",AC43="Bajo"),AND(AC41="Moderado",AC42="Moderado",AC43="Alto"),AND(AC41="Alto",AC42="Bajo",AC43="Bajo"),AND(AC41="Alto",AC42="Moderado",AC43="Bajo"),AND(AC41="Alto",AC42="Moderado",AC43="Moderado"),AND(AC41="Alto",AC42="Alto",AC43="Bajo"),AND(AC41="Alto",AC42="Alto",AC43="Moderado"),AND(AC41="Alto",AC42="Alto",AC43="Alto"),AND(AC41="Alto",AC42="Bajo",AC43=""),AND(AC41="Alto",AC42="Moderado",AC43=""),AND(AC41="Alto",AC42="Alto",AC43=""),AND(AC41="Bajo",AC42="Alto",AC43=""),AND(AC41="Moderado",AC42="Alto",AC43=""),AND(AC41="Alto",AC42="",AC43="")),"Alto",IF(OR(AND(AC41="Bajo",AC42="Bajo",AC43="Extremo"),AND(AC41="Bajo",AC42="Moderado",AC43="Extremo"),AND(AC41="Bajo",AC42="Alto",AC43="Extremo"),AND(AC41="Moderado",AC42="Bajo",AC43="Extremo"),AND(AC41="Moderado",AC42="Alto",AC43="Extremo"),AND(AC41="Moderado",AC42="Moderado",AC43="Extremo"),AND(AC41="Alto",AC42="Bajo",AC43="Extremo"),AND(AC41="Alto",AC42="Moderado",AC43="Extremo"),AND(AC41="Alto",AC42="Alto",AC43="Extremo"),AND(AC41="Extremo",AC42="Bajo",AC43="Bajo"),AND(AC41="Extremo",AC42="Bajo",AC43="Moderado"),AND(AC41="Extremo",AC42="Bajo",AC43="Alto"),AND(AC41="Extremo",AC42="Moderado",AC43="Bajo"),AND(AC41="Extremo",AC42="Moderado",AC43="Moderado"),AND(AC41="Extremo",AC42="Moderado",AC43="Alto"),AND(AC41="Extremo",AC42="Alto",AC43="Bajo"),AND(AC41="Extremo",AC42="Alto",AC43="Moderado"),AND(AC41="Extremo",AC42="Alto",AC43="Alto"),AND(AC41="Extremo",AC42="Extremo",AC43="Bajo"),AND(AC41="Extremo",AC42="Extremo",AC43="Moderado"),AND(AC41="Extremo",AC42="Extremo",AC43="Alto"),AND(AC41="Extremo",AC42="Extremo",AC43="Extremo"),AND(AC41="Extremo",AC42="Bajo",AC43=""),AND(AC41="Extremo",AC42="Moderado",AC43=""),AND(AC41="Extremo",AC42="Alto",AC43=""),AND(AC41="Extremo",AC42="",AC43="")),"Extremo")))),"")</f>
        <v>Bajo</v>
      </c>
      <c r="AE41" s="150" t="s">
        <v>194</v>
      </c>
      <c r="AF41" s="132"/>
      <c r="AG41" s="132"/>
      <c r="AH41" s="109"/>
      <c r="AI41" s="109"/>
      <c r="AJ41" s="132"/>
      <c r="AK41" s="133"/>
    </row>
    <row r="42" spans="1:37" hidden="1" x14ac:dyDescent="0.2">
      <c r="A42" s="149"/>
      <c r="B42" s="159"/>
      <c r="C42" s="156"/>
      <c r="D42" s="156"/>
      <c r="E42" s="149"/>
      <c r="F42" s="149"/>
      <c r="G42" s="149"/>
      <c r="H42" s="145"/>
      <c r="I42" s="145"/>
      <c r="J42" s="149"/>
      <c r="K42" s="145"/>
      <c r="L42" s="145"/>
      <c r="M42" s="145"/>
      <c r="N42" s="145"/>
      <c r="O42" s="133">
        <v>2</v>
      </c>
      <c r="P42" s="130"/>
      <c r="Q42" s="110" t="str">
        <f t="shared" si="13"/>
        <v/>
      </c>
      <c r="R42" s="108"/>
      <c r="S42" s="108"/>
      <c r="T42" s="111" t="str">
        <f t="shared" si="1"/>
        <v/>
      </c>
      <c r="U42" s="131"/>
      <c r="V42" s="131"/>
      <c r="W42" s="131"/>
      <c r="X42" s="112" t="str">
        <f>IFERROR(IF(AND(Q41="Probabilidad",Q42="Probabilidad"),(Z41-(+Z41*T42)),IF(Q42="Probabilidad",(I41-(+I41*T42)),IF(Q42="Impacto",Z41,""))),"")</f>
        <v/>
      </c>
      <c r="Y42" s="113" t="str">
        <f t="shared" si="14"/>
        <v/>
      </c>
      <c r="Z42" s="111" t="str">
        <f t="shared" si="15"/>
        <v/>
      </c>
      <c r="AA42" s="113" t="str">
        <f t="shared" si="16"/>
        <v/>
      </c>
      <c r="AB42" s="111" t="str">
        <f>IFERROR(IF(AND(Q41="Impacto",Q42="Impacto"),(AB41-(+AB41*T42)),IF(Q42="Impacto",($M$16-(+$M$16*T42)),IF(Q42="Probabilidad",AB41,""))),"")</f>
        <v/>
      </c>
      <c r="AC42" s="114" t="str">
        <f t="shared" si="17"/>
        <v/>
      </c>
      <c r="AD42" s="136"/>
      <c r="AE42" s="151"/>
      <c r="AF42" s="132"/>
      <c r="AG42" s="132"/>
      <c r="AH42" s="109"/>
      <c r="AI42" s="109"/>
      <c r="AJ42" s="132"/>
      <c r="AK42" s="133"/>
    </row>
    <row r="43" spans="1:37" hidden="1" x14ac:dyDescent="0.2">
      <c r="A43" s="149"/>
      <c r="B43" s="160"/>
      <c r="C43" s="156"/>
      <c r="D43" s="156"/>
      <c r="E43" s="149"/>
      <c r="F43" s="149"/>
      <c r="G43" s="149"/>
      <c r="H43" s="145"/>
      <c r="I43" s="145"/>
      <c r="J43" s="149"/>
      <c r="K43" s="145"/>
      <c r="L43" s="145"/>
      <c r="M43" s="145"/>
      <c r="N43" s="145"/>
      <c r="O43" s="133">
        <v>3</v>
      </c>
      <c r="P43" s="130"/>
      <c r="Q43" s="110" t="str">
        <f t="shared" si="13"/>
        <v/>
      </c>
      <c r="R43" s="108"/>
      <c r="S43" s="108"/>
      <c r="T43" s="111" t="str">
        <f t="shared" si="1"/>
        <v/>
      </c>
      <c r="U43" s="131"/>
      <c r="V43" s="131"/>
      <c r="W43" s="131"/>
      <c r="X43" s="112" t="str">
        <f>IFERROR(IF(AND(Q42="Probabilidad",Q43="Probabilidad"),(Z42-(+Z42*T43)),IF(AND(Q42="Impacto",Q43="Probabilidad"),(Z41-(+Z41*T43)),IF(Q43="Impacto",Z42,""))),"")</f>
        <v/>
      </c>
      <c r="Y43" s="113" t="str">
        <f t="shared" si="14"/>
        <v/>
      </c>
      <c r="Z43" s="111" t="str">
        <f t="shared" si="15"/>
        <v/>
      </c>
      <c r="AA43" s="113" t="str">
        <f t="shared" si="16"/>
        <v/>
      </c>
      <c r="AB43" s="111" t="str">
        <f>IFERROR(IF(AND(Q42="Impacto",Q43="Impacto"),(AB42-(+AB42*T43)),IF(AND(Q42="Probabilidad",Q43="Impacto"),(AB41-(+AB41*T43)),IF(Q43="Probabilidad",AB42,""))),"")</f>
        <v/>
      </c>
      <c r="AC43" s="114" t="str">
        <f t="shared" si="17"/>
        <v/>
      </c>
      <c r="AD43" s="137"/>
      <c r="AE43" s="152"/>
      <c r="AF43" s="132"/>
      <c r="AG43" s="132"/>
      <c r="AH43" s="109"/>
      <c r="AI43" s="109"/>
      <c r="AJ43" s="132"/>
      <c r="AK43" s="133"/>
    </row>
    <row r="44" spans="1:37" ht="119.25" customHeight="1" x14ac:dyDescent="0.2">
      <c r="A44" s="157">
        <v>7</v>
      </c>
      <c r="B44" s="158" t="s">
        <v>197</v>
      </c>
      <c r="C44" s="156" t="s">
        <v>249</v>
      </c>
      <c r="D44" s="156" t="s">
        <v>267</v>
      </c>
      <c r="E44" s="156" t="s">
        <v>268</v>
      </c>
      <c r="F44" s="156" t="s">
        <v>203</v>
      </c>
      <c r="G44" s="157">
        <v>20000</v>
      </c>
      <c r="H44" s="144" t="str">
        <f>IF(G44&lt;=0,"",IF(G44&lt;=2,"Muy Baja",IF(G44&lt;=24,"Baja",IF(G44&lt;=500,"Media",IF(G44&lt;=5000,"Alta","Muy Alta")))))</f>
        <v>Muy Alta</v>
      </c>
      <c r="I44" s="146">
        <f>IF(H44="","",IF(H44="Muy Baja",0.2,IF(H44="Baja",0.4,IF(H44="Media",0.6,IF(H44="Alta",0.8,IF(H44="Muy Alta",1,))))))</f>
        <v>1</v>
      </c>
      <c r="J44" s="148" t="s">
        <v>148</v>
      </c>
      <c r="K44" s="146" t="str">
        <f>IF(NOT(ISERROR(MATCH(J44,'[1]Tabla Impacto'!$B$221:$B$223,0))),'[1]Tabla Impacto'!$F$223&amp;"Por favor no seleccionar los criterios de impacto(Afectación Económica o presupuestal y Pérdida Reputacional)",J44)</f>
        <v xml:space="preserve">     Entre 10 y 50 SMLMV </v>
      </c>
      <c r="L44" s="144" t="str">
        <f>IF(OR(K44='[1]Tabla Impacto'!$C$11,K44='[1]Tabla Impacto'!$D$11),"Leve",IF(OR(K44='[1]Tabla Impacto'!$C$12,K44='[1]Tabla Impacto'!$D$12),"Menor",IF(OR(K44='[1]Tabla Impacto'!$C$13,K44='[1]Tabla Impacto'!$D$13),"Moderado",IF(OR(K44='[1]Tabla Impacto'!$C$14,K44='[1]Tabla Impacto'!$D$14),"Mayor",IF(OR(K44='[1]Tabla Impacto'!$C$15,K44='[1]Tabla Impacto'!$D$15),"Catastrófico","")))))</f>
        <v>Menor</v>
      </c>
      <c r="M44" s="146">
        <f>IF(L44="","",IF(L44="Leve",0.2,IF(L44="Menor",0.4,IF(L44="Moderado",0.6,IF(L44="Mayor",0.8,IF(L44="Catastrófico",1,))))))</f>
        <v>0.4</v>
      </c>
      <c r="N44" s="147" t="str">
        <f>IF(OR(AND(H44="Muy Baja",L44="Leve"),AND(H44="Muy Baja",L44="Menor"),AND(H44="Baja",L44="Leve")),"Bajo",IF(OR(AND(H44="Muy baja",L44="Moderado"),AND(H44="Baja",L44="Menor"),AND(H44="Baja",L44="Moderado"),AND(H44="Media",L44="Leve"),AND(H44="Media",L44="Menor"),AND(H44="Media",L44="Moderado"),AND(H44="Alta",L44="Leve"),AND(H44="Alta",L44="Menor")),"Moderado",IF(OR(AND(H44="Muy Baja",L44="Mayor"),AND(H44="Baja",L44="Mayor"),AND(H44="Media",L44="Mayor"),AND(H44="Alta",L44="Moderado"),AND(H44="Alta",L44="Mayor"),AND(H44="Muy Alta",L44="Leve"),AND(H44="Muy Alta",L44="Menor"),AND(H44="Muy Alta",L44="Moderado"),AND(H44="Muy Alta",L44="Mayor")),"Alto",IF(OR(AND(H44="Muy Baja",L44="Catastrófico"),AND(H44="Baja",L44="Catastrófico"),AND(H44="Media",L44="Catastrófico"),AND(H44="Alta",L44="Catastrófico"),AND(H44="Muy Alta",L44="Catastrófico")),"Extremo",""))))</f>
        <v>Alto</v>
      </c>
      <c r="O44" s="106">
        <v>1</v>
      </c>
      <c r="P44" s="130" t="s">
        <v>273</v>
      </c>
      <c r="Q44" s="110" t="str">
        <f t="shared" si="0"/>
        <v>Probabilidad</v>
      </c>
      <c r="R44" s="108" t="s">
        <v>167</v>
      </c>
      <c r="S44" s="108" t="s">
        <v>175</v>
      </c>
      <c r="T44" s="111" t="str">
        <f t="shared" ref="T44:T46" si="18">IF(AND(R44="Preventivo",S44="Automático"),"50%",IF(AND(R44="Preventivo",S44="Manual"),"40%",IF(AND(R44="Detectivo",S44="Automático"),"40%",IF(AND(R44="Detectivo",S44="Manual"),"30%",IF(AND(R44="Correctivo",S44="Automático"),"35%",IF(AND(R44="Correctivo",S44="Manual"),"25%",""))))))</f>
        <v>40%</v>
      </c>
      <c r="U44" s="131" t="s">
        <v>178</v>
      </c>
      <c r="V44" s="131" t="s">
        <v>183</v>
      </c>
      <c r="W44" s="131" t="s">
        <v>187</v>
      </c>
      <c r="X44" s="112">
        <f>IFERROR(IF(Q44="Probabilidad",(I44-(+I44*T44)),IF(Q44="Impacto",I44,"")),"")</f>
        <v>0.6</v>
      </c>
      <c r="Y44" s="113" t="str">
        <f t="shared" si="2"/>
        <v>Media</v>
      </c>
      <c r="Z44" s="111">
        <f t="shared" si="3"/>
        <v>0.6</v>
      </c>
      <c r="AA44" s="113" t="str">
        <f t="shared" si="4"/>
        <v>Menor</v>
      </c>
      <c r="AB44" s="111">
        <f>IFERROR(IF(Q44="Impacto",(M44-(+M44*T44)),IF(Q44="Probabilidad",M44,"")),"")</f>
        <v>0.4</v>
      </c>
      <c r="AC44" s="114" t="str">
        <f t="shared" si="5"/>
        <v>Moderado</v>
      </c>
      <c r="AD44" s="135" t="str">
        <f>IFERROR(IF(OR(AND(AC44="Bajo",AC45="Bajo",AC46="Bajo"),AND(AC44="Bajo",AC45="Bajo",AC46=""),AND(AC44="Bajo",AC45="",AC46="")),"Bajo",IF(OR(AND(AC44="Bajo",AC45="Bajo",AC46="Moderado"),AND(AC44="Bajo",AC45="Moderado",AC46="Moderado"),AND(AC44="Moderado",AC45="Moderado",AC46="Moderado"),AND(AC44="Bajo",AC45="Moderado",AC46=""),AND(AC44="Moderado",AC45="Bajo",AC46=""),AND(AC44="Moderado",AC45="Moderado",AC46=""),AND(AC44="Moderado",AC45="",AC46="")),"Moderado",IF(OR(AND(AC44="Bajo",AC45="Bajo",AC46="Alto"),AND(AC44="Bajo",AC45="Moderado",AC46="Alto"),AND(AC44="Moderado",AC45="Bajo",AC46="Alto"),AND(AC44="Moderado",AC45="Alto",AC46="Bajo"),AND(AC44="Moderado",AC45="Moderado",AC46="Alto"),AND(AC44="Alto",AC45="Bajo",AC46="Bajo"),AND(AC44="Alto",AC45="Moderado",AC46="Bajo"),AND(AC44="Alto",AC45="Moderado",AC46="Moderado"),AND(AC44="Alto",AC45="Alto",AC46="Bajo"),AND(AC44="Alto",AC45="Alto",AC46="Moderado"),AND(AC44="Alto",AC45="Alto",AC46="Alto"),AND(AC44="Alto",AC45="Bajo",AC46=""),AND(AC44="Alto",AC45="Moderado",AC46=""),AND(AC44="Alto",AC45="Alto",AC46=""),AND(AC44="Bajo",AC45="Alto",AC46=""),AND(AC44="Moderado",AC45="Alto",AC46=""),AND(AC44="Alto",AC45="",AC46="")),"Alto",IF(OR(AND(AC44="Bajo",AC45="Bajo",AC46="Extremo"),AND(AC44="Bajo",AC45="Moderado",AC46="Extremo"),AND(AC44="Bajo",AC45="Alto",AC46="Extremo"),AND(AC44="Moderado",AC45="Bajo",AC46="Extremo"),AND(AC44="Moderado",AC45="Alto",AC46="Extremo"),AND(AC44="Moderado",AC45="Moderado",AC46="Extremo"),AND(AC44="Alto",AC45="Bajo",AC46="Extremo"),AND(AC44="Alto",AC45="Moderado",AC46="Extremo"),AND(AC44="Alto",AC45="Alto",AC46="Extremo"),AND(AC44="Extremo",AC45="Bajo",AC46="Bajo"),AND(AC44="Extremo",AC45="Bajo",AC46="Moderado"),AND(AC44="Extremo",AC45="Bajo",AC46="Alto"),AND(AC44="Extremo",AC45="Moderado",AC46="Bajo"),AND(AC44="Extremo",AC45="Moderado",AC46="Moderado"),AND(AC44="Extremo",AC45="Moderado",AC46="Alto"),AND(AC44="Extremo",AC45="Alto",AC46="Bajo"),AND(AC44="Extremo",AC45="Alto",AC46="Moderado"),AND(AC44="Extremo",AC45="Alto",AC46="Alto"),AND(AC44="Extremo",AC45="Extremo",AC46="Bajo"),AND(AC44="Extremo",AC45="Extremo",AC46="Moderado"),AND(AC44="Extremo",AC45="Extremo",AC46="Alto"),AND(AC44="Extremo",AC45="Extremo",AC46="Extremo"),AND(AC44="Extremo",AC45="Bajo",AC46=""),AND(AC44="Extremo",AC45="Moderado",AC46=""),AND(AC44="Extremo",AC45="Alto",AC46=""),AND(AC44="Extremo",AC45="",AC46="")),"Extremo")))),"")</f>
        <v>Moderado</v>
      </c>
      <c r="AE44" s="150" t="s">
        <v>194</v>
      </c>
      <c r="AF44" s="107"/>
      <c r="AG44" s="107"/>
      <c r="AH44" s="109"/>
      <c r="AI44" s="109"/>
      <c r="AJ44" s="107"/>
      <c r="AK44" s="106"/>
    </row>
    <row r="45" spans="1:37" hidden="1" x14ac:dyDescent="0.2">
      <c r="A45" s="149"/>
      <c r="B45" s="159"/>
      <c r="C45" s="156"/>
      <c r="D45" s="156"/>
      <c r="E45" s="149"/>
      <c r="F45" s="149"/>
      <c r="G45" s="149"/>
      <c r="H45" s="145"/>
      <c r="I45" s="145"/>
      <c r="J45" s="149"/>
      <c r="K45" s="145"/>
      <c r="L45" s="145"/>
      <c r="M45" s="145"/>
      <c r="N45" s="145"/>
      <c r="O45" s="106">
        <v>2</v>
      </c>
      <c r="P45" s="130"/>
      <c r="Q45" s="110" t="str">
        <f t="shared" si="0"/>
        <v/>
      </c>
      <c r="R45" s="108"/>
      <c r="S45" s="108"/>
      <c r="T45" s="111" t="str">
        <f t="shared" si="18"/>
        <v/>
      </c>
      <c r="U45" s="131"/>
      <c r="V45" s="131"/>
      <c r="W45" s="131"/>
      <c r="X45" s="112" t="str">
        <f>IFERROR(IF(AND(Q44="Probabilidad",Q45="Probabilidad"),(Z44-(+Z44*T45)),IF(Q45="Probabilidad",(I44-(+I44*T45)),IF(Q45="Impacto",Z44,""))),"")</f>
        <v/>
      </c>
      <c r="Y45" s="113" t="str">
        <f t="shared" si="2"/>
        <v/>
      </c>
      <c r="Z45" s="111" t="str">
        <f t="shared" si="3"/>
        <v/>
      </c>
      <c r="AA45" s="113" t="str">
        <f t="shared" si="4"/>
        <v/>
      </c>
      <c r="AB45" s="111" t="str">
        <f>IFERROR(IF(AND(Q44="Impacto",Q45="Impacto"),(AB44-(+AB44*T45)),IF(Q45="Impacto",($M$16-(+$M$16*T45)),IF(Q45="Probabilidad",AB44,""))),"")</f>
        <v/>
      </c>
      <c r="AC45" s="114" t="str">
        <f t="shared" si="5"/>
        <v/>
      </c>
      <c r="AD45" s="136"/>
      <c r="AE45" s="151"/>
      <c r="AF45" s="107"/>
      <c r="AG45" s="107"/>
      <c r="AH45" s="109"/>
      <c r="AI45" s="109"/>
      <c r="AJ45" s="107"/>
      <c r="AK45" s="106"/>
    </row>
    <row r="46" spans="1:37" hidden="1" x14ac:dyDescent="0.2">
      <c r="A46" s="149"/>
      <c r="B46" s="160"/>
      <c r="C46" s="156"/>
      <c r="D46" s="156"/>
      <c r="E46" s="149"/>
      <c r="F46" s="149"/>
      <c r="G46" s="149"/>
      <c r="H46" s="145"/>
      <c r="I46" s="145"/>
      <c r="J46" s="149"/>
      <c r="K46" s="145"/>
      <c r="L46" s="145"/>
      <c r="M46" s="145"/>
      <c r="N46" s="145"/>
      <c r="O46" s="106">
        <v>3</v>
      </c>
      <c r="P46" s="130"/>
      <c r="Q46" s="110" t="str">
        <f t="shared" si="0"/>
        <v/>
      </c>
      <c r="R46" s="108"/>
      <c r="S46" s="108"/>
      <c r="T46" s="111" t="str">
        <f t="shared" si="18"/>
        <v/>
      </c>
      <c r="U46" s="131"/>
      <c r="V46" s="131"/>
      <c r="W46" s="131"/>
      <c r="X46" s="112" t="str">
        <f>IFERROR(IF(AND(Q45="Probabilidad",Q46="Probabilidad"),(Z45-(+Z45*T46)),IF(AND(Q45="Impacto",Q46="Probabilidad"),(Z44-(+Z44*T46)),IF(Q46="Impacto",Z45,""))),"")</f>
        <v/>
      </c>
      <c r="Y46" s="113" t="str">
        <f t="shared" si="2"/>
        <v/>
      </c>
      <c r="Z46" s="111" t="str">
        <f t="shared" si="3"/>
        <v/>
      </c>
      <c r="AA46" s="113" t="str">
        <f t="shared" si="4"/>
        <v/>
      </c>
      <c r="AB46" s="111" t="str">
        <f>IFERROR(IF(AND(Q45="Impacto",Q46="Impacto"),(AB45-(+AB45*T46)),IF(AND(Q45="Probabilidad",Q46="Impacto"),(AB44-(+AB44*T46)),IF(Q46="Probabilidad",AB45,""))),"")</f>
        <v/>
      </c>
      <c r="AC46" s="114" t="str">
        <f t="shared" si="5"/>
        <v/>
      </c>
      <c r="AD46" s="137"/>
      <c r="AE46" s="152"/>
      <c r="AF46" s="107"/>
      <c r="AG46" s="107"/>
      <c r="AH46" s="109"/>
      <c r="AI46" s="109"/>
      <c r="AJ46" s="107"/>
      <c r="AK46" s="106"/>
    </row>
    <row r="47" spans="1:37" hidden="1" x14ac:dyDescent="0.2">
      <c r="A47" s="115"/>
      <c r="B47" s="124"/>
      <c r="C47" s="124"/>
      <c r="D47" s="124"/>
      <c r="E47" s="124"/>
      <c r="F47" s="124"/>
      <c r="G47" s="129"/>
      <c r="H47" s="127" t="str">
        <f>IF(G47&lt;=0,"",IF(G47&lt;=2,"Muy Baja",IF(G47&lt;=24,"Baja",IF(G47&lt;=500,"Media",IF(G47&lt;=5000,"Alta","Muy Alta")))))</f>
        <v/>
      </c>
      <c r="I47" s="126" t="str">
        <f>IF(H47="","",IF(H47="Muy Baja",0.2,IF(H47="Baja",0.4,IF(H47="Media",0.6,IF(H47="Alta",0.8,IF(H47="Muy Alta",1,))))))</f>
        <v/>
      </c>
      <c r="J47" s="125"/>
      <c r="K47" s="126">
        <f ca="1">IF(NOT(ISERROR(MATCH(J47,'Tabla Impacto'!$B$221:$B$223,0))),'Tabla Impacto'!$F$223&amp;"Por favor no seleccionar los criterios de impacto(Afectación Económica o presupuestal y Pérdida Reputacional)",J47)</f>
        <v>0</v>
      </c>
      <c r="L47" s="127" t="str">
        <f ca="1">IF(OR(K47='Tabla Impacto'!$C$11,K47='Tabla Impacto'!$D$11),"Leve",IF(OR(K47='Tabla Impacto'!$C$12,K47='Tabla Impacto'!$D$12),"Menor",IF(OR(K47='Tabla Impacto'!$C$13,K47='Tabla Impacto'!$D$13),"Moderado",IF(OR(K47='Tabla Impacto'!$C$14,K47='Tabla Impacto'!$D$14),"Mayor",IF(OR(K47='Tabla Impacto'!$C$15,K47='Tabla Impacto'!$D$15),"Catastrófico","")))))</f>
        <v/>
      </c>
      <c r="M47" s="126" t="str">
        <f ca="1">IF(L47="","",IF(L47="Leve",0.2,IF(L47="Menor",0.4,IF(L47="Moderado",0.6,IF(L47="Mayor",0.8,IF(L47="Catastrófico",1,))))))</f>
        <v/>
      </c>
      <c r="N47" s="128" t="str">
        <f ca="1">IF(OR(AND(H47="Muy Baja",L47="Leve"),AND(H47="Muy Baja",L47="Menor"),AND(H47="Baja",L47="Leve")),"Bajo",IF(OR(AND(H47="Muy baja",L47="Moderado"),AND(H47="Baja",L47="Menor"),AND(H47="Baja",L47="Moderado"),AND(H47="Media",L47="Leve"),AND(H47="Media",L47="Menor"),AND(H47="Media",L47="Moderado"),AND(H47="Alta",L47="Leve"),AND(H47="Alta",L47="Menor")),"Moderado",IF(OR(AND(H47="Muy Baja",L47="Mayor"),AND(H47="Baja",L47="Mayor"),AND(H47="Media",L47="Mayor"),AND(H47="Alta",L47="Moderado"),AND(H47="Alta",L47="Mayor"),AND(H47="Muy Alta",L47="Leve"),AND(H47="Muy Alta",L47="Menor"),AND(H47="Muy Alta",L47="Moderado"),AND(H47="Muy Alta",L47="Mayor")),"Alto",IF(OR(AND(H47="Muy Baja",L47="Catastrófico"),AND(H47="Baja",L47="Catastrófico"),AND(H47="Media",L47="Catastrófico"),AND(H47="Alta",L47="Catastrófico"),AND(H47="Muy Alta",L47="Catastrófico")),"Extremo",""))))</f>
        <v/>
      </c>
      <c r="O47" s="106"/>
      <c r="P47" s="107"/>
      <c r="Q47" s="110"/>
      <c r="R47" s="108"/>
      <c r="S47" s="108"/>
      <c r="T47" s="111" t="str">
        <f t="shared" ref="T47:T48" si="19">IF(AND(R47="Preventivo",S47="Automático"),"50%",IF(AND(R47="Preventivo",S47="Manual"),"40%",IF(AND(R47="Detectivo",S47="Automático"),"40%",IF(AND(R47="Detectivo",S47="Manual"),"30%",IF(AND(R47="Correctivo",S47="Automático"),"35%",IF(AND(R47="Correctivo",S47="Manual"),"25%",""))))))</f>
        <v/>
      </c>
      <c r="U47" s="108"/>
      <c r="V47" s="108"/>
      <c r="W47" s="108"/>
      <c r="X47" s="112" t="str">
        <f t="shared" ref="X47:X48" si="20">IFERROR(IF(Q47="Probabilidad",(I47-(+I47*T47)),IF(Q47="Impacto",I47,"")),"")</f>
        <v/>
      </c>
      <c r="Y47" s="113" t="str">
        <f t="shared" ref="Y47:Y48" si="21">IFERROR(IF(X47="","",IF(X47&lt;=0.2,"Muy Baja",IF(X47&lt;=0.4,"Baja",IF(X47&lt;=0.6,"Media",IF(X47&lt;=0.8,"Alta","Muy Alta"))))),"")</f>
        <v/>
      </c>
      <c r="Z47" s="111" t="str">
        <f t="shared" ref="Z47:Z48" si="22">+X47</f>
        <v/>
      </c>
      <c r="AA47" s="113" t="str">
        <f t="shared" ref="AA47:AA48" si="23">IFERROR(IF(AB47="","",IF(AB47&lt;=0.2,"Leve",IF(AB47&lt;=0.4,"Menor",IF(AB47&lt;=0.6,"Moderado",IF(AB47&lt;=0.8,"Mayor","Catastrófico"))))),"")</f>
        <v/>
      </c>
      <c r="AB47" s="111" t="str">
        <f t="shared" ref="AB47:AB48" si="24">IFERROR(IF(Q47="Impacto",(M47-(+M47*T47)),IF(Q47="Probabilidad",M47,"")),"")</f>
        <v/>
      </c>
      <c r="AC47" s="114" t="str">
        <f t="shared" ref="AC47:AC48" si="25">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23"/>
      <c r="AE47" s="108"/>
      <c r="AF47" s="107"/>
      <c r="AG47" s="107"/>
      <c r="AH47" s="109"/>
      <c r="AI47" s="109"/>
      <c r="AJ47" s="107"/>
      <c r="AK47" s="106"/>
    </row>
    <row r="48" spans="1:37" hidden="1" x14ac:dyDescent="0.2">
      <c r="A48" s="115"/>
      <c r="B48" s="124"/>
      <c r="C48" s="124"/>
      <c r="D48" s="124"/>
      <c r="E48" s="124"/>
      <c r="F48" s="124"/>
      <c r="G48" s="129"/>
      <c r="H48" s="127" t="str">
        <f>IF(G48&lt;=0,"",IF(G48&lt;=2,"Muy Baja",IF(G48&lt;=24,"Baja",IF(G48&lt;=500,"Media",IF(G48&lt;=5000,"Alta","Muy Alta")))))</f>
        <v/>
      </c>
      <c r="I48" s="126" t="str">
        <f>IF(H48="","",IF(H48="Muy Baja",0.2,IF(H48="Baja",0.4,IF(H48="Media",0.6,IF(H48="Alta",0.8,IF(H48="Muy Alta",1,))))))</f>
        <v/>
      </c>
      <c r="J48" s="125"/>
      <c r="K48" s="126">
        <f ca="1">IF(NOT(ISERROR(MATCH(J48,'Tabla Impacto'!$B$221:$B$223,0))),'Tabla Impacto'!$F$223&amp;"Por favor no seleccionar los criterios de impacto(Afectación Económica o presupuestal y Pérdida Reputacional)",J48)</f>
        <v>0</v>
      </c>
      <c r="L48" s="127" t="str">
        <f ca="1">IF(OR(K48='Tabla Impacto'!$C$11,K48='Tabla Impacto'!$D$11),"Leve",IF(OR(K48='Tabla Impacto'!$C$12,K48='Tabla Impacto'!$D$12),"Menor",IF(OR(K48='Tabla Impacto'!$C$13,K48='Tabla Impacto'!$D$13),"Moderado",IF(OR(K48='Tabla Impacto'!$C$14,K48='Tabla Impacto'!$D$14),"Mayor",IF(OR(K48='Tabla Impacto'!$C$15,K48='Tabla Impacto'!$D$15),"Catastrófico","")))))</f>
        <v/>
      </c>
      <c r="M48" s="126" t="str">
        <f ca="1">IF(L48="","",IF(L48="Leve",0.2,IF(L48="Menor",0.4,IF(L48="Moderado",0.6,IF(L48="Mayor",0.8,IF(L48="Catastrófico",1,))))))</f>
        <v/>
      </c>
      <c r="N48" s="128" t="str">
        <f ca="1">IF(OR(AND(H48="Muy Baja",L48="Leve"),AND(H48="Muy Baja",L48="Menor"),AND(H48="Baja",L48="Leve")),"Bajo",IF(OR(AND(H48="Muy baja",L48="Moderado"),AND(H48="Baja",L48="Menor"),AND(H48="Baja",L48="Moderado"),AND(H48="Media",L48="Leve"),AND(H48="Media",L48="Menor"),AND(H48="Media",L48="Moderado"),AND(H48="Alta",L48="Leve"),AND(H48="Alta",L48="Menor")),"Moderado",IF(OR(AND(H48="Muy Baja",L48="Mayor"),AND(H48="Baja",L48="Mayor"),AND(H48="Media",L48="Mayor"),AND(H48="Alta",L48="Moderado"),AND(H48="Alta",L48="Mayor"),AND(H48="Muy Alta",L48="Leve"),AND(H48="Muy Alta",L48="Menor"),AND(H48="Muy Alta",L48="Moderado"),AND(H48="Muy Alta",L48="Mayor")),"Alto",IF(OR(AND(H48="Muy Baja",L48="Catastrófico"),AND(H48="Baja",L48="Catastrófico"),AND(H48="Media",L48="Catastrófico"),AND(H48="Alta",L48="Catastrófico"),AND(H48="Muy Alta",L48="Catastrófico")),"Extremo",""))))</f>
        <v/>
      </c>
      <c r="O48" s="106"/>
      <c r="P48" s="107"/>
      <c r="Q48" s="106" t="str">
        <f t="shared" ref="Q48" si="26">IF(OR(R48="Preventivo",R48="Detectivo"),"Probabilidad",IF(R48="Correctivo","Impacto",""))</f>
        <v/>
      </c>
      <c r="R48" s="108"/>
      <c r="S48" s="108"/>
      <c r="T48" s="111" t="str">
        <f t="shared" si="19"/>
        <v/>
      </c>
      <c r="U48" s="108"/>
      <c r="V48" s="108"/>
      <c r="W48" s="108"/>
      <c r="X48" s="112" t="str">
        <f t="shared" si="20"/>
        <v/>
      </c>
      <c r="Y48" s="113" t="str">
        <f t="shared" si="21"/>
        <v/>
      </c>
      <c r="Z48" s="111" t="str">
        <f t="shared" si="22"/>
        <v/>
      </c>
      <c r="AA48" s="113" t="str">
        <f t="shared" si="23"/>
        <v/>
      </c>
      <c r="AB48" s="111" t="str">
        <f t="shared" si="24"/>
        <v/>
      </c>
      <c r="AC48" s="114" t="str">
        <f t="shared" si="25"/>
        <v/>
      </c>
      <c r="AD48" s="121"/>
      <c r="AE48" s="108"/>
      <c r="AF48" s="107"/>
      <c r="AG48" s="107"/>
      <c r="AH48" s="109"/>
      <c r="AI48" s="109"/>
      <c r="AJ48" s="107"/>
      <c r="AK48" s="106"/>
    </row>
    <row r="49" spans="1:37" s="118" customFormat="1" x14ac:dyDescent="0.2">
      <c r="A49" s="110"/>
      <c r="B49" s="143" t="s">
        <v>216</v>
      </c>
      <c r="C49" s="143"/>
      <c r="D49" s="143"/>
      <c r="E49" s="143"/>
      <c r="F49" s="143"/>
      <c r="G49" s="143"/>
      <c r="H49" s="143"/>
      <c r="I49" s="143"/>
      <c r="J49" s="143"/>
      <c r="K49" s="143"/>
      <c r="L49" s="143"/>
      <c r="M49" s="143"/>
      <c r="N49" s="143"/>
      <c r="O49" s="143"/>
      <c r="P49" s="143"/>
      <c r="Q49" s="143"/>
      <c r="R49" s="143"/>
      <c r="S49" s="143"/>
      <c r="T49" s="143"/>
      <c r="U49" s="143"/>
      <c r="V49" s="143"/>
      <c r="W49" s="143"/>
      <c r="X49" s="143"/>
      <c r="Y49" s="143"/>
      <c r="Z49" s="143"/>
      <c r="AA49" s="143"/>
      <c r="AB49" s="143"/>
      <c r="AC49" s="143"/>
      <c r="AD49" s="143"/>
      <c r="AE49" s="143"/>
      <c r="AF49" s="143"/>
      <c r="AG49" s="143"/>
      <c r="AH49" s="143"/>
      <c r="AI49" s="143"/>
      <c r="AJ49" s="143"/>
      <c r="AK49" s="143"/>
    </row>
    <row r="50" spans="1:37" x14ac:dyDescent="0.3">
      <c r="B50" s="120" t="s">
        <v>92</v>
      </c>
      <c r="AD50" s="117"/>
    </row>
    <row r="51" spans="1:37" x14ac:dyDescent="0.3">
      <c r="AD51" s="117"/>
    </row>
  </sheetData>
  <sheetProtection formatCells="0" formatColumns="0" formatRows="0" insertRows="0" insertHyperlinks="0" deleteRows="0" selectLockedCells="1" sort="0" autoFilter="0"/>
  <mergeCells count="171">
    <mergeCell ref="J21:J23"/>
    <mergeCell ref="K21:K23"/>
    <mergeCell ref="L21:L23"/>
    <mergeCell ref="M21:M23"/>
    <mergeCell ref="N21:N23"/>
    <mergeCell ref="A1:D5"/>
    <mergeCell ref="E1:AK1"/>
    <mergeCell ref="E2:AK2"/>
    <mergeCell ref="E3:AK3"/>
    <mergeCell ref="E4:M4"/>
    <mergeCell ref="E5:M5"/>
    <mergeCell ref="N4:X4"/>
    <mergeCell ref="N5:X5"/>
    <mergeCell ref="Y4:AG4"/>
    <mergeCell ref="Y5:AG5"/>
    <mergeCell ref="AH4:AK4"/>
    <mergeCell ref="AH5:AK5"/>
    <mergeCell ref="N26:N28"/>
    <mergeCell ref="A26:A28"/>
    <mergeCell ref="B26:B28"/>
    <mergeCell ref="C26:C28"/>
    <mergeCell ref="D26:D28"/>
    <mergeCell ref="E26:E28"/>
    <mergeCell ref="F26:F28"/>
    <mergeCell ref="G26:G28"/>
    <mergeCell ref="M26:M28"/>
    <mergeCell ref="L26:L28"/>
    <mergeCell ref="K26:K28"/>
    <mergeCell ref="J26:J28"/>
    <mergeCell ref="E31:E33"/>
    <mergeCell ref="F31:F33"/>
    <mergeCell ref="G31:G33"/>
    <mergeCell ref="H31:H33"/>
    <mergeCell ref="I31:I33"/>
    <mergeCell ref="A21:A23"/>
    <mergeCell ref="B21:B23"/>
    <mergeCell ref="C21:C23"/>
    <mergeCell ref="D21:D23"/>
    <mergeCell ref="E21:E23"/>
    <mergeCell ref="F21:F23"/>
    <mergeCell ref="G21:G23"/>
    <mergeCell ref="A7:AK8"/>
    <mergeCell ref="A10:B10"/>
    <mergeCell ref="C10:N10"/>
    <mergeCell ref="O10:Q10"/>
    <mergeCell ref="A11:B11"/>
    <mergeCell ref="C11:N11"/>
    <mergeCell ref="C12:N12"/>
    <mergeCell ref="AJ14:AJ15"/>
    <mergeCell ref="AK14:AK15"/>
    <mergeCell ref="A12:B12"/>
    <mergeCell ref="A13:G13"/>
    <mergeCell ref="H13:N13"/>
    <mergeCell ref="O13:W13"/>
    <mergeCell ref="X13:AE13"/>
    <mergeCell ref="AF13:AK13"/>
    <mergeCell ref="A14:A15"/>
    <mergeCell ref="P14:P15"/>
    <mergeCell ref="Q14:Q15"/>
    <mergeCell ref="R14:W14"/>
    <mergeCell ref="X14:X15"/>
    <mergeCell ref="Y14:Y15"/>
    <mergeCell ref="AF14:AF15"/>
    <mergeCell ref="AG14:AG15"/>
    <mergeCell ref="AH14:AH15"/>
    <mergeCell ref="AI14:AI15"/>
    <mergeCell ref="M14:M15"/>
    <mergeCell ref="N14:N15"/>
    <mergeCell ref="O14:O15"/>
    <mergeCell ref="M16:M18"/>
    <mergeCell ref="N16:N18"/>
    <mergeCell ref="Z14:Z15"/>
    <mergeCell ref="AA14:AA15"/>
    <mergeCell ref="AB14:AB15"/>
    <mergeCell ref="AE16:AE18"/>
    <mergeCell ref="A16:A18"/>
    <mergeCell ref="B16:B18"/>
    <mergeCell ref="C16:C18"/>
    <mergeCell ref="D16:D18"/>
    <mergeCell ref="E16:E18"/>
    <mergeCell ref="H36:H38"/>
    <mergeCell ref="I36:I38"/>
    <mergeCell ref="D14:D15"/>
    <mergeCell ref="E14:E15"/>
    <mergeCell ref="F14:F15"/>
    <mergeCell ref="G14:G15"/>
    <mergeCell ref="H14:H15"/>
    <mergeCell ref="I14:I15"/>
    <mergeCell ref="H26:H28"/>
    <mergeCell ref="I26:I28"/>
    <mergeCell ref="H21:H23"/>
    <mergeCell ref="I21:I23"/>
    <mergeCell ref="F16:F18"/>
    <mergeCell ref="G16:G18"/>
    <mergeCell ref="H16:H18"/>
    <mergeCell ref="I16:I18"/>
    <mergeCell ref="A36:A38"/>
    <mergeCell ref="B36:B38"/>
    <mergeCell ref="C36:C38"/>
    <mergeCell ref="AE26:AE28"/>
    <mergeCell ref="AE31:AE33"/>
    <mergeCell ref="A44:A46"/>
    <mergeCell ref="B44:B46"/>
    <mergeCell ref="C44:C46"/>
    <mergeCell ref="D44:D46"/>
    <mergeCell ref="E44:E46"/>
    <mergeCell ref="F44:F46"/>
    <mergeCell ref="G44:G46"/>
    <mergeCell ref="H44:H46"/>
    <mergeCell ref="I44:I46"/>
    <mergeCell ref="A41:A43"/>
    <mergeCell ref="B41:B43"/>
    <mergeCell ref="C41:C43"/>
    <mergeCell ref="D41:D43"/>
    <mergeCell ref="E41:E43"/>
    <mergeCell ref="F41:F43"/>
    <mergeCell ref="G41:G43"/>
    <mergeCell ref="H41:H43"/>
    <mergeCell ref="I41:I43"/>
    <mergeCell ref="A31:A33"/>
    <mergeCell ref="B31:B33"/>
    <mergeCell ref="C31:C33"/>
    <mergeCell ref="D31:D33"/>
    <mergeCell ref="AD41:AD43"/>
    <mergeCell ref="AE41:AE43"/>
    <mergeCell ref="B14:B15"/>
    <mergeCell ref="C14:C15"/>
    <mergeCell ref="J14:J15"/>
    <mergeCell ref="K14:K15"/>
    <mergeCell ref="L14:L15"/>
    <mergeCell ref="AC14:AC15"/>
    <mergeCell ref="AE14:AE15"/>
    <mergeCell ref="D36:D38"/>
    <mergeCell ref="E36:E38"/>
    <mergeCell ref="F36:F38"/>
    <mergeCell ref="G36:G38"/>
    <mergeCell ref="J36:J38"/>
    <mergeCell ref="K36:K38"/>
    <mergeCell ref="J16:J18"/>
    <mergeCell ref="K16:K18"/>
    <mergeCell ref="L16:L18"/>
    <mergeCell ref="N31:N33"/>
    <mergeCell ref="J31:J33"/>
    <mergeCell ref="K31:K33"/>
    <mergeCell ref="L31:L33"/>
    <mergeCell ref="M31:M33"/>
    <mergeCell ref="AE21:AE23"/>
    <mergeCell ref="AD10:AD12"/>
    <mergeCell ref="AD21:AD23"/>
    <mergeCell ref="AD16:AD18"/>
    <mergeCell ref="AD14:AD15"/>
    <mergeCell ref="AD31:AD33"/>
    <mergeCell ref="AD36:AD38"/>
    <mergeCell ref="AD44:AD46"/>
    <mergeCell ref="AD26:AD28"/>
    <mergeCell ref="B49:AK49"/>
    <mergeCell ref="L44:L46"/>
    <mergeCell ref="M44:M46"/>
    <mergeCell ref="N44:N46"/>
    <mergeCell ref="J44:J46"/>
    <mergeCell ref="K44:K46"/>
    <mergeCell ref="L36:L38"/>
    <mergeCell ref="M36:M38"/>
    <mergeCell ref="N36:N38"/>
    <mergeCell ref="AE36:AE38"/>
    <mergeCell ref="AE44:AE46"/>
    <mergeCell ref="J41:J43"/>
    <mergeCell ref="K41:K43"/>
    <mergeCell ref="L41:L43"/>
    <mergeCell ref="M41:M43"/>
    <mergeCell ref="N41:N43"/>
  </mergeCells>
  <conditionalFormatting sqref="H16">
    <cfRule type="cellIs" dxfId="165" priority="211" operator="equal">
      <formula>"Muy Alta"</formula>
    </cfRule>
    <cfRule type="cellIs" dxfId="164" priority="212" operator="equal">
      <formula>"Alta"</formula>
    </cfRule>
    <cfRule type="cellIs" dxfId="163" priority="213" operator="equal">
      <formula>"Media"</formula>
    </cfRule>
    <cfRule type="cellIs" dxfId="162" priority="214" operator="equal">
      <formula>"Baja"</formula>
    </cfRule>
    <cfRule type="cellIs" dxfId="161" priority="215" operator="equal">
      <formula>"Muy Baja"</formula>
    </cfRule>
  </conditionalFormatting>
  <conditionalFormatting sqref="H19:H21">
    <cfRule type="cellIs" dxfId="160" priority="99" operator="equal">
      <formula>"Muy Alta"</formula>
    </cfRule>
    <cfRule type="cellIs" dxfId="159" priority="100" operator="equal">
      <formula>"Alta"</formula>
    </cfRule>
    <cfRule type="cellIs" dxfId="158" priority="101" operator="equal">
      <formula>"Media"</formula>
    </cfRule>
    <cfRule type="cellIs" dxfId="157" priority="102" operator="equal">
      <formula>"Baja"</formula>
    </cfRule>
    <cfRule type="cellIs" dxfId="156" priority="103" operator="equal">
      <formula>"Muy Baja"</formula>
    </cfRule>
  </conditionalFormatting>
  <conditionalFormatting sqref="H24:H26">
    <cfRule type="cellIs" dxfId="155" priority="94" operator="equal">
      <formula>"Muy Alta"</formula>
    </cfRule>
    <cfRule type="cellIs" dxfId="154" priority="95" operator="equal">
      <formula>"Alta"</formula>
    </cfRule>
    <cfRule type="cellIs" dxfId="153" priority="96" operator="equal">
      <formula>"Media"</formula>
    </cfRule>
    <cfRule type="cellIs" dxfId="152" priority="97" operator="equal">
      <formula>"Baja"</formula>
    </cfRule>
    <cfRule type="cellIs" dxfId="151" priority="98" operator="equal">
      <formula>"Muy Baja"</formula>
    </cfRule>
  </conditionalFormatting>
  <conditionalFormatting sqref="H29:H31">
    <cfRule type="cellIs" dxfId="150" priority="89" operator="equal">
      <formula>"Muy Alta"</formula>
    </cfRule>
    <cfRule type="cellIs" dxfId="149" priority="90" operator="equal">
      <formula>"Alta"</formula>
    </cfRule>
    <cfRule type="cellIs" dxfId="148" priority="91" operator="equal">
      <formula>"Media"</formula>
    </cfRule>
    <cfRule type="cellIs" dxfId="147" priority="92" operator="equal">
      <formula>"Baja"</formula>
    </cfRule>
    <cfRule type="cellIs" dxfId="146" priority="93" operator="equal">
      <formula>"Muy Baja"</formula>
    </cfRule>
  </conditionalFormatting>
  <conditionalFormatting sqref="H34:H36">
    <cfRule type="cellIs" dxfId="145" priority="84" operator="equal">
      <formula>"Muy Alta"</formula>
    </cfRule>
    <cfRule type="cellIs" dxfId="144" priority="85" operator="equal">
      <formula>"Alta"</formula>
    </cfRule>
    <cfRule type="cellIs" dxfId="143" priority="86" operator="equal">
      <formula>"Media"</formula>
    </cfRule>
    <cfRule type="cellIs" dxfId="142" priority="87" operator="equal">
      <formula>"Baja"</formula>
    </cfRule>
    <cfRule type="cellIs" dxfId="141" priority="88" operator="equal">
      <formula>"Muy Baja"</formula>
    </cfRule>
  </conditionalFormatting>
  <conditionalFormatting sqref="H39:H40 H44">
    <cfRule type="cellIs" dxfId="140" priority="79" operator="equal">
      <formula>"Muy Alta"</formula>
    </cfRule>
    <cfRule type="cellIs" dxfId="139" priority="80" operator="equal">
      <formula>"Alta"</formula>
    </cfRule>
    <cfRule type="cellIs" dxfId="138" priority="81" operator="equal">
      <formula>"Media"</formula>
    </cfRule>
    <cfRule type="cellIs" dxfId="137" priority="82" operator="equal">
      <formula>"Baja"</formula>
    </cfRule>
    <cfRule type="cellIs" dxfId="136" priority="83" operator="equal">
      <formula>"Muy Baja"</formula>
    </cfRule>
  </conditionalFormatting>
  <conditionalFormatting sqref="H47:H48">
    <cfRule type="cellIs" dxfId="135" priority="222" operator="equal">
      <formula>"Muy Alta"</formula>
    </cfRule>
    <cfRule type="cellIs" dxfId="134" priority="223" operator="equal">
      <formula>"Alta"</formula>
    </cfRule>
    <cfRule type="cellIs" dxfId="133" priority="224" operator="equal">
      <formula>"Media"</formula>
    </cfRule>
    <cfRule type="cellIs" dxfId="132" priority="225" operator="equal">
      <formula>"Baja"</formula>
    </cfRule>
    <cfRule type="cellIs" dxfId="131" priority="226" operator="equal">
      <formula>"Muy Baja"</formula>
    </cfRule>
  </conditionalFormatting>
  <conditionalFormatting sqref="K16:K40 K44:K48">
    <cfRule type="containsText" dxfId="130" priority="216" operator="containsText" text="❌">
      <formula>NOT(ISERROR(SEARCH(("❌"),(K16))))</formula>
    </cfRule>
  </conditionalFormatting>
  <conditionalFormatting sqref="L16">
    <cfRule type="cellIs" dxfId="129" priority="181" operator="equal">
      <formula>"Catastrófico"</formula>
    </cfRule>
    <cfRule type="cellIs" dxfId="128" priority="182" operator="equal">
      <formula>"Mayor"</formula>
    </cfRule>
    <cfRule type="cellIs" dxfId="127" priority="183" operator="equal">
      <formula>"Moderado"</formula>
    </cfRule>
    <cfRule type="cellIs" dxfId="126" priority="184" operator="equal">
      <formula>"Menor"</formula>
    </cfRule>
    <cfRule type="cellIs" dxfId="125" priority="185" operator="equal">
      <formula>"Leve"</formula>
    </cfRule>
  </conditionalFormatting>
  <conditionalFormatting sqref="L19:L21">
    <cfRule type="cellIs" dxfId="124" priority="74" operator="equal">
      <formula>"Catastrófico"</formula>
    </cfRule>
    <cfRule type="cellIs" dxfId="123" priority="75" operator="equal">
      <formula>"Mayor"</formula>
    </cfRule>
    <cfRule type="cellIs" dxfId="122" priority="76" operator="equal">
      <formula>"Moderado"</formula>
    </cfRule>
    <cfRule type="cellIs" dxfId="121" priority="77" operator="equal">
      <formula>"Menor"</formula>
    </cfRule>
    <cfRule type="cellIs" dxfId="120" priority="78" operator="equal">
      <formula>"Leve"</formula>
    </cfRule>
  </conditionalFormatting>
  <conditionalFormatting sqref="L24:L26">
    <cfRule type="cellIs" dxfId="119" priority="69" operator="equal">
      <formula>"Catastrófico"</formula>
    </cfRule>
    <cfRule type="cellIs" dxfId="118" priority="70" operator="equal">
      <formula>"Mayor"</formula>
    </cfRule>
    <cfRule type="cellIs" dxfId="117" priority="71" operator="equal">
      <formula>"Moderado"</formula>
    </cfRule>
    <cfRule type="cellIs" dxfId="116" priority="72" operator="equal">
      <formula>"Menor"</formula>
    </cfRule>
    <cfRule type="cellIs" dxfId="115" priority="73" operator="equal">
      <formula>"Leve"</formula>
    </cfRule>
  </conditionalFormatting>
  <conditionalFormatting sqref="L29:L31">
    <cfRule type="cellIs" dxfId="114" priority="64" operator="equal">
      <formula>"Catastrófico"</formula>
    </cfRule>
    <cfRule type="cellIs" dxfId="113" priority="65" operator="equal">
      <formula>"Mayor"</formula>
    </cfRule>
    <cfRule type="cellIs" dxfId="112" priority="66" operator="equal">
      <formula>"Moderado"</formula>
    </cfRule>
    <cfRule type="cellIs" dxfId="111" priority="67" operator="equal">
      <formula>"Menor"</formula>
    </cfRule>
    <cfRule type="cellIs" dxfId="110" priority="68" operator="equal">
      <formula>"Leve"</formula>
    </cfRule>
  </conditionalFormatting>
  <conditionalFormatting sqref="L34:L36">
    <cfRule type="cellIs" dxfId="109" priority="59" operator="equal">
      <formula>"Catastrófico"</formula>
    </cfRule>
    <cfRule type="cellIs" dxfId="108" priority="60" operator="equal">
      <formula>"Mayor"</formula>
    </cfRule>
    <cfRule type="cellIs" dxfId="107" priority="61" operator="equal">
      <formula>"Moderado"</formula>
    </cfRule>
    <cfRule type="cellIs" dxfId="106" priority="62" operator="equal">
      <formula>"Menor"</formula>
    </cfRule>
    <cfRule type="cellIs" dxfId="105" priority="63" operator="equal">
      <formula>"Leve"</formula>
    </cfRule>
  </conditionalFormatting>
  <conditionalFormatting sqref="L39:L40 L44">
    <cfRule type="cellIs" dxfId="104" priority="54" operator="equal">
      <formula>"Catastrófico"</formula>
    </cfRule>
    <cfRule type="cellIs" dxfId="103" priority="55" operator="equal">
      <formula>"Mayor"</formula>
    </cfRule>
    <cfRule type="cellIs" dxfId="102" priority="56" operator="equal">
      <formula>"Moderado"</formula>
    </cfRule>
    <cfRule type="cellIs" dxfId="101" priority="57" operator="equal">
      <formula>"Menor"</formula>
    </cfRule>
    <cfRule type="cellIs" dxfId="100" priority="58" operator="equal">
      <formula>"Leve"</formula>
    </cfRule>
  </conditionalFormatting>
  <conditionalFormatting sqref="L47:L48">
    <cfRule type="cellIs" dxfId="99" priority="227" operator="equal">
      <formula>"Catastrófico"</formula>
    </cfRule>
    <cfRule type="cellIs" dxfId="98" priority="228" operator="equal">
      <formula>"Mayor"</formula>
    </cfRule>
    <cfRule type="cellIs" dxfId="97" priority="229" operator="equal">
      <formula>"Moderado"</formula>
    </cfRule>
    <cfRule type="cellIs" dxfId="96" priority="230" operator="equal">
      <formula>"Menor"</formula>
    </cfRule>
    <cfRule type="cellIs" dxfId="95" priority="231" operator="equal">
      <formula>"Leve"</formula>
    </cfRule>
  </conditionalFormatting>
  <conditionalFormatting sqref="N16">
    <cfRule type="cellIs" dxfId="94" priority="152" operator="equal">
      <formula>"Extremo"</formula>
    </cfRule>
    <cfRule type="cellIs" dxfId="93" priority="153" operator="equal">
      <formula>"Alto"</formula>
    </cfRule>
    <cfRule type="cellIs" dxfId="92" priority="154" operator="equal">
      <formula>"Moderado"</formula>
    </cfRule>
    <cfRule type="cellIs" dxfId="91" priority="155" operator="equal">
      <formula>"Bajo"</formula>
    </cfRule>
  </conditionalFormatting>
  <conditionalFormatting sqref="N19:N21">
    <cfRule type="cellIs" dxfId="90" priority="50" operator="equal">
      <formula>"Extremo"</formula>
    </cfRule>
    <cfRule type="cellIs" dxfId="89" priority="51" operator="equal">
      <formula>"Alto"</formula>
    </cfRule>
    <cfRule type="cellIs" dxfId="88" priority="52" operator="equal">
      <formula>"Moderado"</formula>
    </cfRule>
    <cfRule type="cellIs" dxfId="87" priority="53" operator="equal">
      <formula>"Bajo"</formula>
    </cfRule>
  </conditionalFormatting>
  <conditionalFormatting sqref="N24:N26">
    <cfRule type="cellIs" dxfId="86" priority="46" operator="equal">
      <formula>"Extremo"</formula>
    </cfRule>
    <cfRule type="cellIs" dxfId="85" priority="47" operator="equal">
      <formula>"Alto"</formula>
    </cfRule>
    <cfRule type="cellIs" dxfId="84" priority="48" operator="equal">
      <formula>"Moderado"</formula>
    </cfRule>
    <cfRule type="cellIs" dxfId="83" priority="49" operator="equal">
      <formula>"Bajo"</formula>
    </cfRule>
  </conditionalFormatting>
  <conditionalFormatting sqref="N29:N31">
    <cfRule type="cellIs" dxfId="82" priority="42" operator="equal">
      <formula>"Extremo"</formula>
    </cfRule>
    <cfRule type="cellIs" dxfId="81" priority="43" operator="equal">
      <formula>"Alto"</formula>
    </cfRule>
    <cfRule type="cellIs" dxfId="80" priority="44" operator="equal">
      <formula>"Moderado"</formula>
    </cfRule>
    <cfRule type="cellIs" dxfId="79" priority="45" operator="equal">
      <formula>"Bajo"</formula>
    </cfRule>
  </conditionalFormatting>
  <conditionalFormatting sqref="N34:N36">
    <cfRule type="cellIs" dxfId="78" priority="38" operator="equal">
      <formula>"Extremo"</formula>
    </cfRule>
    <cfRule type="cellIs" dxfId="77" priority="39" operator="equal">
      <formula>"Alto"</formula>
    </cfRule>
    <cfRule type="cellIs" dxfId="76" priority="40" operator="equal">
      <formula>"Moderado"</formula>
    </cfRule>
    <cfRule type="cellIs" dxfId="75" priority="41" operator="equal">
      <formula>"Bajo"</formula>
    </cfRule>
  </conditionalFormatting>
  <conditionalFormatting sqref="N39:N40 N44">
    <cfRule type="cellIs" dxfId="74" priority="34" operator="equal">
      <formula>"Extremo"</formula>
    </cfRule>
    <cfRule type="cellIs" dxfId="73" priority="35" operator="equal">
      <formula>"Alto"</formula>
    </cfRule>
    <cfRule type="cellIs" dxfId="72" priority="36" operator="equal">
      <formula>"Moderado"</formula>
    </cfRule>
    <cfRule type="cellIs" dxfId="71" priority="37" operator="equal">
      <formula>"Bajo"</formula>
    </cfRule>
  </conditionalFormatting>
  <conditionalFormatting sqref="N47:N48">
    <cfRule type="cellIs" dxfId="70" priority="232" operator="equal">
      <formula>"Extremo"</formula>
    </cfRule>
    <cfRule type="cellIs" dxfId="69" priority="233" operator="equal">
      <formula>"Alto"</formula>
    </cfRule>
    <cfRule type="cellIs" dxfId="68" priority="234" operator="equal">
      <formula>"Moderado"</formula>
    </cfRule>
    <cfRule type="cellIs" dxfId="67" priority="235" operator="equal">
      <formula>"Bajo"</formula>
    </cfRule>
  </conditionalFormatting>
  <conditionalFormatting sqref="Y16:Y40 Y44:Y48">
    <cfRule type="cellIs" dxfId="66" priority="122" operator="equal">
      <formula>"Muy Alta"</formula>
    </cfRule>
    <cfRule type="cellIs" dxfId="65" priority="123" operator="equal">
      <formula>"Alta"</formula>
    </cfRule>
    <cfRule type="cellIs" dxfId="64" priority="124" operator="equal">
      <formula>"Media"</formula>
    </cfRule>
    <cfRule type="cellIs" dxfId="63" priority="125" operator="equal">
      <formula>"Baja"</formula>
    </cfRule>
    <cfRule type="cellIs" dxfId="62" priority="126" operator="equal">
      <formula>"Muy Baja"</formula>
    </cfRule>
  </conditionalFormatting>
  <conditionalFormatting sqref="AA16:AA40 AA44:AA48">
    <cfRule type="cellIs" dxfId="61" priority="112" operator="equal">
      <formula>"Catastrófico"</formula>
    </cfRule>
    <cfRule type="cellIs" dxfId="60" priority="113" operator="equal">
      <formula>"Mayor"</formula>
    </cfRule>
    <cfRule type="cellIs" dxfId="59" priority="114" operator="equal">
      <formula>"Moderado"</formula>
    </cfRule>
    <cfRule type="cellIs" dxfId="58" priority="115" operator="equal">
      <formula>"Menor"</formula>
    </cfRule>
    <cfRule type="cellIs" dxfId="57" priority="116" operator="equal">
      <formula>"Leve"</formula>
    </cfRule>
  </conditionalFormatting>
  <conditionalFormatting sqref="AC44:AC48 AC16:AC40">
    <cfRule type="cellIs" dxfId="56" priority="104" operator="equal">
      <formula>"Extremo"</formula>
    </cfRule>
    <cfRule type="cellIs" dxfId="55" priority="105" operator="equal">
      <formula>"Alto"</formula>
    </cfRule>
    <cfRule type="cellIs" dxfId="54" priority="106" operator="equal">
      <formula>"Moderado"</formula>
    </cfRule>
    <cfRule type="cellIs" dxfId="53" priority="107" operator="equal">
      <formula>"Bajo"</formula>
    </cfRule>
  </conditionalFormatting>
  <conditionalFormatting sqref="AD10:AD11 AD13:AD14 AD16:AD17 AD21:AD22">
    <cfRule type="cellIs" dxfId="52" priority="444" operator="equal">
      <formula>"Extremo"</formula>
    </cfRule>
    <cfRule type="cellIs" dxfId="51" priority="445" operator="equal">
      <formula>"Alto"</formula>
    </cfRule>
    <cfRule type="cellIs" dxfId="50" priority="446" operator="equal">
      <formula>"Moderado"</formula>
    </cfRule>
    <cfRule type="cellIs" dxfId="49" priority="447" operator="equal">
      <formula>"Bajo"</formula>
    </cfRule>
  </conditionalFormatting>
  <conditionalFormatting sqref="AD26:AD27">
    <cfRule type="cellIs" dxfId="48" priority="392" operator="equal">
      <formula>"Extremo"</formula>
    </cfRule>
    <cfRule type="cellIs" dxfId="47" priority="393" operator="equal">
      <formula>"Alto"</formula>
    </cfRule>
    <cfRule type="cellIs" dxfId="46" priority="394" operator="equal">
      <formula>"Moderado"</formula>
    </cfRule>
    <cfRule type="cellIs" dxfId="45" priority="395" operator="equal">
      <formula>"Bajo"</formula>
    </cfRule>
  </conditionalFormatting>
  <conditionalFormatting sqref="AD31:AD32">
    <cfRule type="cellIs" dxfId="44" priority="380" operator="equal">
      <formula>"Extremo"</formula>
    </cfRule>
    <cfRule type="cellIs" dxfId="43" priority="381" operator="equal">
      <formula>"Alto"</formula>
    </cfRule>
    <cfRule type="cellIs" dxfId="42" priority="382" operator="equal">
      <formula>"Moderado"</formula>
    </cfRule>
    <cfRule type="cellIs" dxfId="41" priority="383" operator="equal">
      <formula>"Bajo"</formula>
    </cfRule>
  </conditionalFormatting>
  <conditionalFormatting sqref="AD36:AD37">
    <cfRule type="cellIs" dxfId="40" priority="388" operator="equal">
      <formula>"Extremo"</formula>
    </cfRule>
    <cfRule type="cellIs" dxfId="39" priority="389" operator="equal">
      <formula>"Alto"</formula>
    </cfRule>
    <cfRule type="cellIs" dxfId="38" priority="390" operator="equal">
      <formula>"Moderado"</formula>
    </cfRule>
    <cfRule type="cellIs" dxfId="37" priority="391" operator="equal">
      <formula>"Bajo"</formula>
    </cfRule>
  </conditionalFormatting>
  <conditionalFormatting sqref="AD44:AD45">
    <cfRule type="cellIs" dxfId="36" priority="384" operator="equal">
      <formula>"Extremo"</formula>
    </cfRule>
    <cfRule type="cellIs" dxfId="35" priority="385" operator="equal">
      <formula>"Alto"</formula>
    </cfRule>
    <cfRule type="cellIs" dxfId="34" priority="386" operator="equal">
      <formula>"Moderado"</formula>
    </cfRule>
    <cfRule type="cellIs" dxfId="33" priority="387" operator="equal">
      <formula>"Bajo"</formula>
    </cfRule>
  </conditionalFormatting>
  <conditionalFormatting sqref="H41">
    <cfRule type="cellIs" dxfId="32" priority="10" operator="equal">
      <formula>"Muy Alta"</formula>
    </cfRule>
    <cfRule type="cellIs" dxfId="31" priority="11" operator="equal">
      <formula>"Alta"</formula>
    </cfRule>
    <cfRule type="cellIs" dxfId="30" priority="12" operator="equal">
      <formula>"Media"</formula>
    </cfRule>
    <cfRule type="cellIs" dxfId="29" priority="13" operator="equal">
      <formula>"Baja"</formula>
    </cfRule>
    <cfRule type="cellIs" dxfId="28" priority="14" operator="equal">
      <formula>"Muy Baja"</formula>
    </cfRule>
  </conditionalFormatting>
  <conditionalFormatting sqref="K41:K43">
    <cfRule type="containsText" dxfId="27" priority="29" operator="containsText" text="❌">
      <formula>NOT(ISERROR(SEARCH(("❌"),(K41))))</formula>
    </cfRule>
  </conditionalFormatting>
  <conditionalFormatting sqref="L41">
    <cfRule type="cellIs" dxfId="26" priority="5" operator="equal">
      <formula>"Catastrófico"</formula>
    </cfRule>
    <cfRule type="cellIs" dxfId="25" priority="6" operator="equal">
      <formula>"Mayor"</formula>
    </cfRule>
    <cfRule type="cellIs" dxfId="24" priority="7" operator="equal">
      <formula>"Moderado"</formula>
    </cfRule>
    <cfRule type="cellIs" dxfId="23" priority="8" operator="equal">
      <formula>"Menor"</formula>
    </cfRule>
    <cfRule type="cellIs" dxfId="22" priority="9" operator="equal">
      <formula>"Leve"</formula>
    </cfRule>
  </conditionalFormatting>
  <conditionalFormatting sqref="N41">
    <cfRule type="cellIs" dxfId="21" priority="1" operator="equal">
      <formula>"Extremo"</formula>
    </cfRule>
    <cfRule type="cellIs" dxfId="20" priority="2" operator="equal">
      <formula>"Alto"</formula>
    </cfRule>
    <cfRule type="cellIs" dxfId="19" priority="3" operator="equal">
      <formula>"Moderado"</formula>
    </cfRule>
    <cfRule type="cellIs" dxfId="18" priority="4" operator="equal">
      <formula>"Bajo"</formula>
    </cfRule>
  </conditionalFormatting>
  <conditionalFormatting sqref="Y41:Y43">
    <cfRule type="cellIs" dxfId="17" priority="24" operator="equal">
      <formula>"Muy Alta"</formula>
    </cfRule>
    <cfRule type="cellIs" dxfId="16" priority="25" operator="equal">
      <formula>"Alta"</formula>
    </cfRule>
    <cfRule type="cellIs" dxfId="15" priority="26" operator="equal">
      <formula>"Media"</formula>
    </cfRule>
    <cfRule type="cellIs" dxfId="14" priority="27" operator="equal">
      <formula>"Baja"</formula>
    </cfRule>
    <cfRule type="cellIs" dxfId="13" priority="28" operator="equal">
      <formula>"Muy Baja"</formula>
    </cfRule>
  </conditionalFormatting>
  <conditionalFormatting sqref="AA41:AA43">
    <cfRule type="cellIs" dxfId="12" priority="19" operator="equal">
      <formula>"Catastrófico"</formula>
    </cfRule>
    <cfRule type="cellIs" dxfId="11" priority="20" operator="equal">
      <formula>"Mayor"</formula>
    </cfRule>
    <cfRule type="cellIs" dxfId="10" priority="21" operator="equal">
      <formula>"Moderado"</formula>
    </cfRule>
    <cfRule type="cellIs" dxfId="9" priority="22" operator="equal">
      <formula>"Menor"</formula>
    </cfRule>
    <cfRule type="cellIs" dxfId="8" priority="23" operator="equal">
      <formula>"Leve"</formula>
    </cfRule>
  </conditionalFormatting>
  <conditionalFormatting sqref="AC41:AC43">
    <cfRule type="cellIs" dxfId="7" priority="15" operator="equal">
      <formula>"Extremo"</formula>
    </cfRule>
    <cfRule type="cellIs" dxfId="6" priority="16" operator="equal">
      <formula>"Alto"</formula>
    </cfRule>
    <cfRule type="cellIs" dxfId="5" priority="17" operator="equal">
      <formula>"Moderado"</formula>
    </cfRule>
    <cfRule type="cellIs" dxfId="4" priority="18" operator="equal">
      <formula>"Bajo"</formula>
    </cfRule>
  </conditionalFormatting>
  <conditionalFormatting sqref="AD41:AD42">
    <cfRule type="cellIs" dxfId="3" priority="30" operator="equal">
      <formula>"Extremo"</formula>
    </cfRule>
    <cfRule type="cellIs" dxfId="2" priority="31" operator="equal">
      <formula>"Alto"</formula>
    </cfRule>
    <cfRule type="cellIs" dxfId="1" priority="32" operator="equal">
      <formula>"Moderado"</formula>
    </cfRule>
    <cfRule type="cellIs" dxfId="0" priority="33" operator="equal">
      <formula>"Bajo"</formula>
    </cfRule>
  </conditionalFormatting>
  <dataValidations count="4">
    <dataValidation allowBlank="1" showInputMessage="1" showErrorMessage="1" promptTitle="NOMBRE DEL PROCESO/SUBPROCESO" prompt="Debe colocar el nombre del proceso/subproceso, de acuerdo al modelo de operación por procesos de la Administración Municipal de Pasto (Mapa de Procesos)" sqref="C10:N10"/>
    <dataValidation allowBlank="1" showInputMessage="1" showErrorMessage="1" promptTitle="OBJETIVO DEL PROCESO/SUBPROCESO" prompt="Debe colocar el objetivo del proceso/subproceso de acuerdo a la caracterización del proceso" sqref="C11:N11"/>
    <dataValidation allowBlank="1" showInputMessage="1" showErrorMessage="1" promptTitle="ALCANCE DEL PROCESO/SUBPROCESO" prompt="Debe colocar el alcance del proceso/subproceso, de acuerdo a la caracterización del mismo Incluyendo LIMITE y APLICABILIDAD" sqref="C12:N12"/>
    <dataValidation allowBlank="1" showInputMessage="1" showErrorMessage="1" promptTitle="Descripción de controles" prompt="Debe existir un control por cada causa._x000a__x000a_Debe tener_x000a_Responsable de ejecutar el control_x000a_Como que ejecuta el control_x000a_Tiempo que ejecuta el control_x000a_Evidencias de la ejecución del control" sqref="P16:P20 P22:P47"/>
  </dataValidations>
  <pageMargins left="0.7" right="0.7" top="0.75" bottom="0.75" header="0" footer="0"/>
  <pageSetup orientation="portrait" r:id="rId1"/>
  <ignoredErrors>
    <ignoredError sqref="N5" numberStoredAsText="1"/>
  </ignoredErrors>
  <drawing r:id="rId2"/>
  <extLst>
    <ext xmlns:x14="http://schemas.microsoft.com/office/spreadsheetml/2009/9/main" uri="{CCE6A557-97BC-4b89-ADB6-D9C93CAAB3DF}">
      <x14:dataValidations xmlns:xm="http://schemas.microsoft.com/office/excel/2006/main" count="10">
        <x14:dataValidation type="list" allowBlank="1" showErrorMessage="1">
          <x14:formula1>
            <xm:f>'Opciones Tratamiento'!$E$2:$E$4</xm:f>
          </x14:formula1>
          <xm:sqref>B19:B21 B16 B47:B48 B24:B26 B29:B31 B34:B36 B39:B41 B44</xm:sqref>
        </x14:dataValidation>
        <x14:dataValidation type="list" allowBlank="1" showErrorMessage="1">
          <x14:formula1>
            <xm:f>'Tabla Impacto'!$F$210:$F$221</xm:f>
          </x14:formula1>
          <xm:sqref>J47:J48 J16 J19:J21 J24:J26 J29:J31 J34:J36 J39:J41 J44</xm:sqref>
        </x14:dataValidation>
        <x14:dataValidation type="list" allowBlank="1" showErrorMessage="1">
          <x14:formula1>
            <xm:f>'Opciones Tratamiento'!$B$9:$B$10</xm:f>
          </x14:formula1>
          <xm:sqref>AK16:AK48</xm:sqref>
        </x14:dataValidation>
        <x14:dataValidation type="list" allowBlank="1" showErrorMessage="1">
          <x14:formula1>
            <xm:f>'Opciones Tratamiento'!$B$13:$B$19</xm:f>
          </x14:formula1>
          <xm:sqref>F19:F21 F16 F47:F48 F24:F26 F29:F31 F34:F36 F39:F41 F44</xm:sqref>
        </x14:dataValidation>
        <x14:dataValidation type="list" allowBlank="1" showErrorMessage="1">
          <x14:formula1>
            <xm:f>'Tabla Valoración controles'!$D$9:$D$10</xm:f>
          </x14:formula1>
          <xm:sqref>U16:U48</xm:sqref>
        </x14:dataValidation>
        <x14:dataValidation type="list" allowBlank="1" showErrorMessage="1">
          <x14:formula1>
            <xm:f>'Tabla Valoración controles'!$D$11:$D$12</xm:f>
          </x14:formula1>
          <xm:sqref>V16:V48</xm:sqref>
        </x14:dataValidation>
        <x14:dataValidation type="list" allowBlank="1" showErrorMessage="1">
          <x14:formula1>
            <xm:f>'Tabla Valoración controles'!$D$13:$D$14</xm:f>
          </x14:formula1>
          <xm:sqref>W16:W48</xm:sqref>
        </x14:dataValidation>
        <x14:dataValidation type="list" allowBlank="1" showErrorMessage="1">
          <x14:formula1>
            <xm:f>'Tabla Valoración controles'!$D$7:$D$8</xm:f>
          </x14:formula1>
          <xm:sqref>S16:S48</xm:sqref>
        </x14:dataValidation>
        <x14:dataValidation type="list" allowBlank="1" showErrorMessage="1">
          <x14:formula1>
            <xm:f>'Tabla Valoración controles'!$D$4:$D$6</xm:f>
          </x14:formula1>
          <xm:sqref>R16:R48</xm:sqref>
        </x14:dataValidation>
        <x14:dataValidation type="list" allowBlank="1" showErrorMessage="1">
          <x14:formula1>
            <xm:f>'Opciones Tratamiento'!$B$2:$B$5</xm:f>
          </x14:formula1>
          <xm:sqref>AE16 AE19:AE21 AE24:AE26 AE29:AE31 AE34:AE36 AE47:AE48 AE39:AE41 AE44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21"/>
  <sheetViews>
    <sheetView workbookViewId="0"/>
  </sheetViews>
  <sheetFormatPr baseColWidth="10" defaultColWidth="12.625" defaultRowHeight="15" customHeight="1" x14ac:dyDescent="0.2"/>
  <cols>
    <col min="1" max="1" width="28.75" customWidth="1"/>
    <col min="2" max="26" width="10" customWidth="1"/>
  </cols>
  <sheetData>
    <row r="3" spans="1:1" ht="12.75" customHeight="1" x14ac:dyDescent="0.2">
      <c r="A3" s="97" t="s">
        <v>167</v>
      </c>
    </row>
    <row r="4" spans="1:1" ht="12.75" customHeight="1" x14ac:dyDescent="0.2">
      <c r="A4" s="97" t="s">
        <v>169</v>
      </c>
    </row>
    <row r="5" spans="1:1" ht="12.75" customHeight="1" x14ac:dyDescent="0.2">
      <c r="A5" s="97" t="s">
        <v>171</v>
      </c>
    </row>
    <row r="6" spans="1:1" ht="12.75" customHeight="1" x14ac:dyDescent="0.2">
      <c r="A6" s="97" t="s">
        <v>173</v>
      </c>
    </row>
    <row r="7" spans="1:1" ht="12.75" customHeight="1" x14ac:dyDescent="0.2">
      <c r="A7" s="97" t="s">
        <v>175</v>
      </c>
    </row>
    <row r="8" spans="1:1" ht="12.75" customHeight="1" x14ac:dyDescent="0.2">
      <c r="A8" s="97" t="s">
        <v>178</v>
      </c>
    </row>
    <row r="9" spans="1:1" ht="12.75" customHeight="1" x14ac:dyDescent="0.2">
      <c r="A9" s="97" t="s">
        <v>181</v>
      </c>
    </row>
    <row r="10" spans="1:1" ht="12.75" customHeight="1" x14ac:dyDescent="0.2">
      <c r="A10" s="97" t="s">
        <v>183</v>
      </c>
    </row>
    <row r="11" spans="1:1" ht="12.75" customHeight="1" x14ac:dyDescent="0.2">
      <c r="A11" s="97" t="s">
        <v>185</v>
      </c>
    </row>
    <row r="12" spans="1:1" ht="12.75" customHeight="1" x14ac:dyDescent="0.2">
      <c r="A12" s="97" t="s">
        <v>209</v>
      </c>
    </row>
    <row r="13" spans="1:1" ht="12.75" customHeight="1" x14ac:dyDescent="0.2">
      <c r="A13" s="97" t="s">
        <v>210</v>
      </c>
    </row>
    <row r="14" spans="1:1" ht="12.75" customHeight="1" x14ac:dyDescent="0.2">
      <c r="A14" s="97" t="s">
        <v>211</v>
      </c>
    </row>
    <row r="15" spans="1:1" ht="12.75" customHeight="1" x14ac:dyDescent="0.2">
      <c r="A15" s="96"/>
    </row>
    <row r="16" spans="1:1" ht="12.75" customHeight="1" x14ac:dyDescent="0.2">
      <c r="A16" s="97" t="s">
        <v>212</v>
      </c>
    </row>
    <row r="17" spans="1:1" ht="12.75" customHeight="1" x14ac:dyDescent="0.2">
      <c r="A17" s="97" t="s">
        <v>192</v>
      </c>
    </row>
    <row r="18" spans="1:1" ht="12.75" customHeight="1" x14ac:dyDescent="0.2">
      <c r="A18" s="97" t="s">
        <v>194</v>
      </c>
    </row>
    <row r="19" spans="1:1" ht="12.75" customHeight="1" x14ac:dyDescent="0.2">
      <c r="A19" s="96"/>
    </row>
    <row r="20" spans="1:1" ht="12.75" customHeight="1" x14ac:dyDescent="0.2">
      <c r="A20" s="97" t="s">
        <v>200</v>
      </c>
    </row>
    <row r="21" spans="1:1" ht="12.75" customHeight="1" x14ac:dyDescent="0.2">
      <c r="A21" s="97" t="s">
        <v>201</v>
      </c>
    </row>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44"/>
  <sheetViews>
    <sheetView topLeftCell="A25" workbookViewId="0">
      <selection activeCell="E36" sqref="E36:F36"/>
    </sheetView>
  </sheetViews>
  <sheetFormatPr baseColWidth="10" defaultColWidth="12.625" defaultRowHeight="15" customHeight="1" x14ac:dyDescent="0.2"/>
  <cols>
    <col min="1" max="1" width="2.5" customWidth="1"/>
    <col min="2" max="3" width="21.625" customWidth="1"/>
    <col min="4" max="4" width="14" customWidth="1"/>
    <col min="5" max="5" width="21.625" customWidth="1"/>
    <col min="6" max="6" width="24.25" customWidth="1"/>
    <col min="7" max="8" width="21.625" customWidth="1"/>
    <col min="9" max="26" width="10" customWidth="1"/>
  </cols>
  <sheetData>
    <row r="2" spans="2:8" ht="14.25" x14ac:dyDescent="0.2">
      <c r="B2" s="231" t="s">
        <v>0</v>
      </c>
      <c r="C2" s="232"/>
      <c r="D2" s="232"/>
      <c r="E2" s="232"/>
      <c r="F2" s="232"/>
      <c r="G2" s="232"/>
      <c r="H2" s="233"/>
    </row>
    <row r="3" spans="2:8" ht="14.25" x14ac:dyDescent="0.2">
      <c r="B3" s="2"/>
      <c r="C3" s="3"/>
      <c r="D3" s="3"/>
      <c r="E3" s="3"/>
      <c r="F3" s="3"/>
      <c r="G3" s="3"/>
      <c r="H3" s="4"/>
    </row>
    <row r="4" spans="2:8" ht="63" customHeight="1" x14ac:dyDescent="0.2">
      <c r="B4" s="234" t="s">
        <v>1</v>
      </c>
      <c r="C4" s="235"/>
      <c r="D4" s="235"/>
      <c r="E4" s="235"/>
      <c r="F4" s="235"/>
      <c r="G4" s="235"/>
      <c r="H4" s="236"/>
    </row>
    <row r="5" spans="2:8" ht="63" customHeight="1" x14ac:dyDescent="0.2">
      <c r="B5" s="237"/>
      <c r="C5" s="238"/>
      <c r="D5" s="238"/>
      <c r="E5" s="238"/>
      <c r="F5" s="238"/>
      <c r="G5" s="238"/>
      <c r="H5" s="239"/>
    </row>
    <row r="6" spans="2:8" ht="14.25" x14ac:dyDescent="0.2">
      <c r="B6" s="240" t="s">
        <v>2</v>
      </c>
      <c r="C6" s="241"/>
      <c r="D6" s="241"/>
      <c r="E6" s="241"/>
      <c r="F6" s="241"/>
      <c r="G6" s="241"/>
      <c r="H6" s="242"/>
    </row>
    <row r="7" spans="2:8" ht="95.25" customHeight="1" x14ac:dyDescent="0.2">
      <c r="B7" s="243" t="s">
        <v>3</v>
      </c>
      <c r="C7" s="244"/>
      <c r="D7" s="244"/>
      <c r="E7" s="244"/>
      <c r="F7" s="244"/>
      <c r="G7" s="244"/>
      <c r="H7" s="245"/>
    </row>
    <row r="8" spans="2:8" ht="16.5" x14ac:dyDescent="0.2">
      <c r="B8" s="5"/>
      <c r="C8" s="6"/>
      <c r="D8" s="6"/>
      <c r="E8" s="6"/>
      <c r="F8" s="6"/>
      <c r="G8" s="6"/>
      <c r="H8" s="7"/>
    </row>
    <row r="9" spans="2:8" ht="16.5" customHeight="1" x14ac:dyDescent="0.2">
      <c r="B9" s="246" t="s">
        <v>4</v>
      </c>
      <c r="C9" s="235"/>
      <c r="D9" s="235"/>
      <c r="E9" s="235"/>
      <c r="F9" s="235"/>
      <c r="G9" s="235"/>
      <c r="H9" s="236"/>
    </row>
    <row r="10" spans="2:8" ht="44.25" customHeight="1" x14ac:dyDescent="0.2">
      <c r="B10" s="247"/>
      <c r="C10" s="235"/>
      <c r="D10" s="235"/>
      <c r="E10" s="235"/>
      <c r="F10" s="235"/>
      <c r="G10" s="235"/>
      <c r="H10" s="236"/>
    </row>
    <row r="11" spans="2:8" ht="14.25" x14ac:dyDescent="0.2">
      <c r="B11" s="8"/>
      <c r="C11" s="9"/>
      <c r="D11" s="10"/>
      <c r="E11" s="11"/>
      <c r="F11" s="11"/>
      <c r="G11" s="11"/>
      <c r="H11" s="12"/>
    </row>
    <row r="12" spans="2:8" ht="14.25" x14ac:dyDescent="0.2">
      <c r="B12" s="8"/>
      <c r="C12" s="227" t="s">
        <v>5</v>
      </c>
      <c r="D12" s="228"/>
      <c r="E12" s="229" t="s">
        <v>6</v>
      </c>
      <c r="F12" s="230"/>
      <c r="G12" s="9"/>
      <c r="H12" s="12"/>
    </row>
    <row r="13" spans="2:8" ht="35.25" customHeight="1" x14ac:dyDescent="0.2">
      <c r="B13" s="8"/>
      <c r="C13" s="223" t="s">
        <v>7</v>
      </c>
      <c r="D13" s="224"/>
      <c r="E13" s="225" t="s">
        <v>8</v>
      </c>
      <c r="F13" s="226"/>
      <c r="G13" s="9"/>
      <c r="H13" s="12"/>
    </row>
    <row r="14" spans="2:8" ht="17.25" customHeight="1" x14ac:dyDescent="0.2">
      <c r="B14" s="8"/>
      <c r="C14" s="223" t="s">
        <v>9</v>
      </c>
      <c r="D14" s="224"/>
      <c r="E14" s="225" t="s">
        <v>10</v>
      </c>
      <c r="F14" s="226"/>
      <c r="G14" s="9"/>
      <c r="H14" s="12"/>
    </row>
    <row r="15" spans="2:8" ht="19.5" customHeight="1" x14ac:dyDescent="0.2">
      <c r="B15" s="8"/>
      <c r="C15" s="223" t="s">
        <v>11</v>
      </c>
      <c r="D15" s="224"/>
      <c r="E15" s="225" t="s">
        <v>12</v>
      </c>
      <c r="F15" s="226"/>
      <c r="G15" s="9"/>
      <c r="H15" s="12"/>
    </row>
    <row r="16" spans="2:8" ht="69.75" customHeight="1" x14ac:dyDescent="0.2">
      <c r="B16" s="8"/>
      <c r="C16" s="223" t="s">
        <v>13</v>
      </c>
      <c r="D16" s="224"/>
      <c r="E16" s="225" t="s">
        <v>14</v>
      </c>
      <c r="F16" s="226"/>
      <c r="G16" s="9"/>
      <c r="H16" s="12"/>
    </row>
    <row r="17" spans="3:6" ht="34.5" customHeight="1" x14ac:dyDescent="0.2">
      <c r="C17" s="219" t="s">
        <v>15</v>
      </c>
      <c r="D17" s="220"/>
      <c r="E17" s="215" t="s">
        <v>16</v>
      </c>
      <c r="F17" s="216"/>
    </row>
    <row r="18" spans="3:6" ht="27.75" customHeight="1" x14ac:dyDescent="0.2">
      <c r="C18" s="219" t="s">
        <v>17</v>
      </c>
      <c r="D18" s="220"/>
      <c r="E18" s="215" t="s">
        <v>18</v>
      </c>
      <c r="F18" s="216"/>
    </row>
    <row r="19" spans="3:6" ht="28.5" customHeight="1" x14ac:dyDescent="0.2">
      <c r="C19" s="219" t="s">
        <v>19</v>
      </c>
      <c r="D19" s="220"/>
      <c r="E19" s="215" t="s">
        <v>20</v>
      </c>
      <c r="F19" s="216"/>
    </row>
    <row r="20" spans="3:6" ht="72.75" customHeight="1" x14ac:dyDescent="0.2">
      <c r="C20" s="219" t="s">
        <v>21</v>
      </c>
      <c r="D20" s="220"/>
      <c r="E20" s="215" t="s">
        <v>22</v>
      </c>
      <c r="F20" s="216"/>
    </row>
    <row r="21" spans="3:6" ht="64.5" customHeight="1" x14ac:dyDescent="0.2">
      <c r="C21" s="219" t="s">
        <v>23</v>
      </c>
      <c r="D21" s="220"/>
      <c r="E21" s="215" t="s">
        <v>24</v>
      </c>
      <c r="F21" s="216"/>
    </row>
    <row r="22" spans="3:6" ht="71.25" customHeight="1" x14ac:dyDescent="0.2">
      <c r="C22" s="219" t="s">
        <v>25</v>
      </c>
      <c r="D22" s="220"/>
      <c r="E22" s="215" t="s">
        <v>26</v>
      </c>
      <c r="F22" s="216"/>
    </row>
    <row r="23" spans="3:6" ht="55.5" customHeight="1" x14ac:dyDescent="0.2">
      <c r="C23" s="219" t="s">
        <v>27</v>
      </c>
      <c r="D23" s="220"/>
      <c r="E23" s="215" t="s">
        <v>28</v>
      </c>
      <c r="F23" s="216"/>
    </row>
    <row r="24" spans="3:6" ht="42" customHeight="1" x14ac:dyDescent="0.2">
      <c r="C24" s="219" t="s">
        <v>29</v>
      </c>
      <c r="D24" s="220"/>
      <c r="E24" s="215" t="s">
        <v>30</v>
      </c>
      <c r="F24" s="216"/>
    </row>
    <row r="25" spans="3:6" ht="59.25" customHeight="1" x14ac:dyDescent="0.2">
      <c r="C25" s="219" t="s">
        <v>31</v>
      </c>
      <c r="D25" s="220"/>
      <c r="E25" s="215" t="s">
        <v>32</v>
      </c>
      <c r="F25" s="216"/>
    </row>
    <row r="26" spans="3:6" ht="23.25" customHeight="1" x14ac:dyDescent="0.2">
      <c r="C26" s="219" t="s">
        <v>33</v>
      </c>
      <c r="D26" s="220"/>
      <c r="E26" s="215" t="s">
        <v>34</v>
      </c>
      <c r="F26" s="216"/>
    </row>
    <row r="27" spans="3:6" ht="30.75" customHeight="1" x14ac:dyDescent="0.2">
      <c r="C27" s="219" t="s">
        <v>35</v>
      </c>
      <c r="D27" s="220"/>
      <c r="E27" s="215" t="s">
        <v>36</v>
      </c>
      <c r="F27" s="216"/>
    </row>
    <row r="28" spans="3:6" ht="35.25" customHeight="1" x14ac:dyDescent="0.2">
      <c r="C28" s="219" t="s">
        <v>37</v>
      </c>
      <c r="D28" s="220"/>
      <c r="E28" s="215" t="s">
        <v>38</v>
      </c>
      <c r="F28" s="216"/>
    </row>
    <row r="29" spans="3:6" ht="33" customHeight="1" x14ac:dyDescent="0.2">
      <c r="C29" s="219" t="s">
        <v>39</v>
      </c>
      <c r="D29" s="220"/>
      <c r="E29" s="215" t="s">
        <v>38</v>
      </c>
      <c r="F29" s="216"/>
    </row>
    <row r="30" spans="3:6" ht="30" customHeight="1" x14ac:dyDescent="0.2">
      <c r="C30" s="219" t="s">
        <v>40</v>
      </c>
      <c r="D30" s="220"/>
      <c r="E30" s="215" t="s">
        <v>41</v>
      </c>
      <c r="F30" s="216"/>
    </row>
    <row r="31" spans="3:6" ht="35.25" customHeight="1" x14ac:dyDescent="0.2">
      <c r="C31" s="219" t="s">
        <v>42</v>
      </c>
      <c r="D31" s="220"/>
      <c r="E31" s="215" t="s">
        <v>43</v>
      </c>
      <c r="F31" s="216"/>
    </row>
    <row r="32" spans="3:6" ht="31.5" customHeight="1" x14ac:dyDescent="0.2">
      <c r="C32" s="219" t="s">
        <v>44</v>
      </c>
      <c r="D32" s="220"/>
      <c r="E32" s="215" t="s">
        <v>45</v>
      </c>
      <c r="F32" s="216"/>
    </row>
    <row r="33" spans="2:8" ht="35.25" customHeight="1" x14ac:dyDescent="0.2">
      <c r="B33" s="8"/>
      <c r="C33" s="219" t="s">
        <v>46</v>
      </c>
      <c r="D33" s="220"/>
      <c r="E33" s="215" t="s">
        <v>47</v>
      </c>
      <c r="F33" s="216"/>
      <c r="G33" s="9"/>
      <c r="H33" s="12"/>
    </row>
    <row r="34" spans="2:8" ht="59.25" customHeight="1" x14ac:dyDescent="0.2">
      <c r="B34" s="8"/>
      <c r="C34" s="219" t="s">
        <v>48</v>
      </c>
      <c r="D34" s="220"/>
      <c r="E34" s="215" t="s">
        <v>49</v>
      </c>
      <c r="F34" s="216"/>
      <c r="G34" s="9"/>
      <c r="H34" s="12"/>
    </row>
    <row r="35" spans="2:8" ht="29.25" customHeight="1" x14ac:dyDescent="0.2">
      <c r="B35" s="8"/>
      <c r="C35" s="219" t="s">
        <v>50</v>
      </c>
      <c r="D35" s="220"/>
      <c r="E35" s="215" t="s">
        <v>51</v>
      </c>
      <c r="F35" s="216"/>
      <c r="G35" s="9"/>
      <c r="H35" s="12"/>
    </row>
    <row r="36" spans="2:8" ht="82.5" customHeight="1" x14ac:dyDescent="0.2">
      <c r="B36" s="8"/>
      <c r="C36" s="219" t="s">
        <v>52</v>
      </c>
      <c r="D36" s="220"/>
      <c r="E36" s="215" t="s">
        <v>53</v>
      </c>
      <c r="F36" s="216"/>
      <c r="G36" s="9"/>
      <c r="H36" s="12"/>
    </row>
    <row r="37" spans="2:8" ht="46.5" customHeight="1" x14ac:dyDescent="0.2">
      <c r="B37" s="8"/>
      <c r="C37" s="219" t="s">
        <v>54</v>
      </c>
      <c r="D37" s="220"/>
      <c r="E37" s="215" t="s">
        <v>55</v>
      </c>
      <c r="F37" s="216"/>
      <c r="G37" s="9"/>
      <c r="H37" s="12"/>
    </row>
    <row r="38" spans="2:8" ht="6.75" customHeight="1" x14ac:dyDescent="0.2">
      <c r="B38" s="8"/>
      <c r="C38" s="221"/>
      <c r="D38" s="222"/>
      <c r="E38" s="217"/>
      <c r="F38" s="218"/>
      <c r="G38" s="9"/>
      <c r="H38" s="12"/>
    </row>
    <row r="39" spans="2:8" ht="15.75" customHeight="1" x14ac:dyDescent="0.2">
      <c r="B39" s="8"/>
      <c r="C39" s="13"/>
      <c r="D39" s="13"/>
      <c r="E39" s="14"/>
      <c r="F39" s="14"/>
      <c r="G39" s="9"/>
      <c r="H39" s="12"/>
    </row>
    <row r="40" spans="2:8" ht="21" customHeight="1" x14ac:dyDescent="0.2">
      <c r="B40" s="212" t="s">
        <v>56</v>
      </c>
      <c r="C40" s="213"/>
      <c r="D40" s="213"/>
      <c r="E40" s="213"/>
      <c r="F40" s="213"/>
      <c r="G40" s="213"/>
      <c r="H40" s="214"/>
    </row>
    <row r="41" spans="2:8" ht="20.25" customHeight="1" x14ac:dyDescent="0.2">
      <c r="B41" s="212" t="s">
        <v>57</v>
      </c>
      <c r="C41" s="213"/>
      <c r="D41" s="213"/>
      <c r="E41" s="213"/>
      <c r="F41" s="213"/>
      <c r="G41" s="213"/>
      <c r="H41" s="214"/>
    </row>
    <row r="42" spans="2:8" ht="20.25" customHeight="1" x14ac:dyDescent="0.2">
      <c r="B42" s="212" t="s">
        <v>58</v>
      </c>
      <c r="C42" s="213"/>
      <c r="D42" s="213"/>
      <c r="E42" s="213"/>
      <c r="F42" s="213"/>
      <c r="G42" s="213"/>
      <c r="H42" s="214"/>
    </row>
    <row r="43" spans="2:8" ht="20.25" customHeight="1" x14ac:dyDescent="0.2">
      <c r="B43" s="212" t="s">
        <v>59</v>
      </c>
      <c r="C43" s="213"/>
      <c r="D43" s="213"/>
      <c r="E43" s="213"/>
      <c r="F43" s="213"/>
      <c r="G43" s="213"/>
      <c r="H43" s="214"/>
    </row>
    <row r="44" spans="2:8" ht="15.75" customHeight="1" x14ac:dyDescent="0.2">
      <c r="B44" s="212" t="s">
        <v>60</v>
      </c>
      <c r="C44" s="213"/>
      <c r="D44" s="213"/>
      <c r="E44" s="213"/>
      <c r="F44" s="213"/>
      <c r="G44" s="213"/>
      <c r="H44" s="214"/>
    </row>
  </sheetData>
  <mergeCells count="64">
    <mergeCell ref="B2:H2"/>
    <mergeCell ref="B4:H5"/>
    <mergeCell ref="B6:H6"/>
    <mergeCell ref="B7:H7"/>
    <mergeCell ref="B9:H10"/>
    <mergeCell ref="C12:D12"/>
    <mergeCell ref="E12:F12"/>
    <mergeCell ref="C13:D13"/>
    <mergeCell ref="E13:F13"/>
    <mergeCell ref="C14:D14"/>
    <mergeCell ref="E14:F14"/>
    <mergeCell ref="C15:D15"/>
    <mergeCell ref="E15:F15"/>
    <mergeCell ref="E16:F16"/>
    <mergeCell ref="C16:D16"/>
    <mergeCell ref="C17:D17"/>
    <mergeCell ref="E17:F17"/>
    <mergeCell ref="C18:D18"/>
    <mergeCell ref="C19:D19"/>
    <mergeCell ref="C20:D20"/>
    <mergeCell ref="C21:D21"/>
    <mergeCell ref="C22:D22"/>
    <mergeCell ref="E18:F18"/>
    <mergeCell ref="E19:F19"/>
    <mergeCell ref="E20:F20"/>
    <mergeCell ref="E21:F21"/>
    <mergeCell ref="E22:F22"/>
    <mergeCell ref="E23:F23"/>
    <mergeCell ref="C23:D23"/>
    <mergeCell ref="C24:D24"/>
    <mergeCell ref="C25:D25"/>
    <mergeCell ref="C26:D26"/>
    <mergeCell ref="C27:D27"/>
    <mergeCell ref="C28:D28"/>
    <mergeCell ref="C29:D29"/>
    <mergeCell ref="E24:F24"/>
    <mergeCell ref="E25:F25"/>
    <mergeCell ref="E26:F26"/>
    <mergeCell ref="E27:F27"/>
    <mergeCell ref="E28:F28"/>
    <mergeCell ref="E29:F29"/>
    <mergeCell ref="E30:F30"/>
    <mergeCell ref="E38:F38"/>
    <mergeCell ref="B40:H40"/>
    <mergeCell ref="B41:H41"/>
    <mergeCell ref="B42:H42"/>
    <mergeCell ref="C37:D37"/>
    <mergeCell ref="C38:D38"/>
    <mergeCell ref="C30:D30"/>
    <mergeCell ref="C31:D31"/>
    <mergeCell ref="C32:D32"/>
    <mergeCell ref="C33:D33"/>
    <mergeCell ref="C34:D34"/>
    <mergeCell ref="C35:D35"/>
    <mergeCell ref="C36:D36"/>
    <mergeCell ref="B43:H43"/>
    <mergeCell ref="B44:H44"/>
    <mergeCell ref="E31:F31"/>
    <mergeCell ref="E32:F32"/>
    <mergeCell ref="E33:F33"/>
    <mergeCell ref="E34:F34"/>
    <mergeCell ref="E35:F35"/>
    <mergeCell ref="E36:F36"/>
    <mergeCell ref="E37:F37"/>
  </mergeCell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T51"/>
  <sheetViews>
    <sheetView zoomScale="40" zoomScaleNormal="40" workbookViewId="0">
      <selection activeCell="V22" sqref="V22:W23"/>
    </sheetView>
  </sheetViews>
  <sheetFormatPr baseColWidth="10" defaultColWidth="12.625" defaultRowHeight="15" customHeight="1" x14ac:dyDescent="0.2"/>
  <cols>
    <col min="1" max="1" width="9.375" customWidth="1"/>
    <col min="2" max="39" width="5" customWidth="1"/>
    <col min="40" max="40" width="9.375" customWidth="1"/>
    <col min="41" max="46" width="5" customWidth="1"/>
    <col min="47" max="61" width="9.375" customWidth="1"/>
  </cols>
  <sheetData>
    <row r="2" spans="2:46" ht="18" customHeight="1" x14ac:dyDescent="0.25">
      <c r="B2" s="277" t="s">
        <v>93</v>
      </c>
      <c r="C2" s="235"/>
      <c r="D2" s="235"/>
      <c r="E2" s="235"/>
      <c r="F2" s="235"/>
      <c r="G2" s="235"/>
      <c r="H2" s="235"/>
      <c r="I2" s="235"/>
      <c r="J2" s="278" t="s">
        <v>15</v>
      </c>
      <c r="K2" s="279"/>
      <c r="L2" s="279"/>
      <c r="M2" s="279"/>
      <c r="N2" s="279"/>
      <c r="O2" s="279"/>
      <c r="P2" s="279"/>
      <c r="Q2" s="279"/>
      <c r="R2" s="279"/>
      <c r="S2" s="279"/>
      <c r="T2" s="279"/>
      <c r="U2" s="279"/>
      <c r="V2" s="279"/>
      <c r="W2" s="279"/>
      <c r="X2" s="279"/>
      <c r="Y2" s="279"/>
      <c r="Z2" s="279"/>
      <c r="AA2" s="279"/>
      <c r="AB2" s="279"/>
      <c r="AC2" s="279"/>
      <c r="AD2" s="279"/>
      <c r="AE2" s="279"/>
      <c r="AF2" s="279"/>
      <c r="AG2" s="279"/>
      <c r="AH2" s="279"/>
      <c r="AI2" s="279"/>
      <c r="AJ2" s="279"/>
      <c r="AK2" s="279"/>
      <c r="AL2" s="279"/>
      <c r="AM2" s="261"/>
      <c r="AN2" s="1"/>
      <c r="AO2" s="1"/>
      <c r="AP2" s="1"/>
      <c r="AQ2" s="1"/>
      <c r="AR2" s="1"/>
      <c r="AS2" s="1"/>
      <c r="AT2" s="1"/>
    </row>
    <row r="3" spans="2:46" ht="18.75" customHeight="1" x14ac:dyDescent="0.25">
      <c r="B3" s="235"/>
      <c r="C3" s="235"/>
      <c r="D3" s="235"/>
      <c r="E3" s="235"/>
      <c r="F3" s="235"/>
      <c r="G3" s="235"/>
      <c r="H3" s="235"/>
      <c r="I3" s="235"/>
      <c r="J3" s="280"/>
      <c r="K3" s="235"/>
      <c r="L3" s="235"/>
      <c r="M3" s="235"/>
      <c r="N3" s="235"/>
      <c r="O3" s="235"/>
      <c r="P3" s="235"/>
      <c r="Q3" s="235"/>
      <c r="R3" s="235"/>
      <c r="S3" s="235"/>
      <c r="T3" s="235"/>
      <c r="U3" s="235"/>
      <c r="V3" s="235"/>
      <c r="W3" s="235"/>
      <c r="X3" s="235"/>
      <c r="Y3" s="235"/>
      <c r="Z3" s="235"/>
      <c r="AA3" s="235"/>
      <c r="AB3" s="235"/>
      <c r="AC3" s="235"/>
      <c r="AD3" s="235"/>
      <c r="AE3" s="235"/>
      <c r="AF3" s="235"/>
      <c r="AG3" s="235"/>
      <c r="AH3" s="235"/>
      <c r="AI3" s="235"/>
      <c r="AJ3" s="235"/>
      <c r="AK3" s="235"/>
      <c r="AL3" s="235"/>
      <c r="AM3" s="281"/>
      <c r="AN3" s="1"/>
      <c r="AO3" s="1"/>
      <c r="AP3" s="1"/>
      <c r="AQ3" s="1"/>
      <c r="AR3" s="1"/>
      <c r="AS3" s="1"/>
      <c r="AT3" s="1"/>
    </row>
    <row r="4" spans="2:46" ht="15" customHeight="1" x14ac:dyDescent="0.25">
      <c r="B4" s="235"/>
      <c r="C4" s="235"/>
      <c r="D4" s="235"/>
      <c r="E4" s="235"/>
      <c r="F4" s="235"/>
      <c r="G4" s="235"/>
      <c r="H4" s="235"/>
      <c r="I4" s="235"/>
      <c r="J4" s="250"/>
      <c r="K4" s="282"/>
      <c r="L4" s="282"/>
      <c r="M4" s="282"/>
      <c r="N4" s="282"/>
      <c r="O4" s="282"/>
      <c r="P4" s="282"/>
      <c r="Q4" s="282"/>
      <c r="R4" s="282"/>
      <c r="S4" s="282"/>
      <c r="T4" s="282"/>
      <c r="U4" s="282"/>
      <c r="V4" s="282"/>
      <c r="W4" s="282"/>
      <c r="X4" s="282"/>
      <c r="Y4" s="282"/>
      <c r="Z4" s="282"/>
      <c r="AA4" s="282"/>
      <c r="AB4" s="282"/>
      <c r="AC4" s="282"/>
      <c r="AD4" s="282"/>
      <c r="AE4" s="282"/>
      <c r="AF4" s="282"/>
      <c r="AG4" s="282"/>
      <c r="AH4" s="282"/>
      <c r="AI4" s="282"/>
      <c r="AJ4" s="282"/>
      <c r="AK4" s="282"/>
      <c r="AL4" s="282"/>
      <c r="AM4" s="254"/>
      <c r="AN4" s="1"/>
      <c r="AO4" s="1"/>
      <c r="AP4" s="1"/>
      <c r="AQ4" s="1"/>
      <c r="AR4" s="1"/>
      <c r="AS4" s="1"/>
      <c r="AT4" s="1"/>
    </row>
    <row r="5" spans="2:46" x14ac:dyDescent="0.25">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row>
    <row r="6" spans="2:46" ht="15" customHeight="1" x14ac:dyDescent="0.2">
      <c r="B6" s="283" t="s">
        <v>94</v>
      </c>
      <c r="C6" s="279"/>
      <c r="D6" s="249"/>
      <c r="E6" s="268" t="s">
        <v>95</v>
      </c>
      <c r="F6" s="269"/>
      <c r="G6" s="269"/>
      <c r="H6" s="269"/>
      <c r="I6" s="255"/>
      <c r="J6" s="256" t="str">
        <f>IF(AND('Mapa final'!$H$16="Muy Alta",'Mapa final'!$L$16="Leve"),CONCATENATE("R",'Mapa final'!$A$16),"")</f>
        <v/>
      </c>
      <c r="K6" s="253"/>
      <c r="L6" s="258" t="str">
        <f>IF(AND('Mapa final'!$H$21="Muy Alta",'Mapa final'!$L$21="Leve"),CONCATENATE("R",'Mapa final'!$A$21),"")</f>
        <v/>
      </c>
      <c r="M6" s="253"/>
      <c r="N6" s="258" t="str">
        <f>IF(AND('Mapa final'!$H$26="Muy Alta",'Mapa final'!$L$26="Leve"),CONCATENATE("R",'Mapa final'!$A$26),"")</f>
        <v/>
      </c>
      <c r="O6" s="255"/>
      <c r="P6" s="256" t="str">
        <f>IF(AND('Mapa final'!$H$16="Muy Alta",'Mapa final'!$L$16="Menor"),CONCATENATE("R",'Mapa final'!$A$16),"")</f>
        <v/>
      </c>
      <c r="Q6" s="253"/>
      <c r="R6" s="258" t="str">
        <f>IF(AND('Mapa final'!$H$21="Muy Alta",'Mapa final'!$L$21="Menor"),CONCATENATE("R",'Mapa final'!$A$21),"")</f>
        <v/>
      </c>
      <c r="S6" s="253"/>
      <c r="T6" s="258" t="str">
        <f>IF(AND('Mapa final'!$H$26="Muy Alta",'Mapa final'!$L$26="Menor"),CONCATENATE("R",'Mapa final'!$A$26),"")</f>
        <v/>
      </c>
      <c r="U6" s="255"/>
      <c r="V6" s="256" t="str">
        <f>IF(AND('Mapa final'!$H$16="Muy Alta",'Mapa final'!$L$16="Moderado"),CONCATENATE("R",'Mapa final'!$A$16),"")</f>
        <v/>
      </c>
      <c r="W6" s="253"/>
      <c r="X6" s="258" t="str">
        <f>IF(AND('Mapa final'!$H$21="Muy Alta",'Mapa final'!$L$21="Moderado"),CONCATENATE("R",'Mapa final'!$A$21),"")</f>
        <v/>
      </c>
      <c r="Y6" s="253"/>
      <c r="Z6" s="258" t="str">
        <f>IF(AND('Mapa final'!$H$26="Muy Alta",'Mapa final'!$L$26="Moderado"),CONCATENATE("R",'Mapa final'!$A$26),"")</f>
        <v/>
      </c>
      <c r="AA6" s="255"/>
      <c r="AB6" s="256" t="str">
        <f>IF(AND('Mapa final'!$H$16="Muy Alta",'Mapa final'!$L$16="Mayor"),CONCATENATE("R",'Mapa final'!$A$16),"")</f>
        <v/>
      </c>
      <c r="AC6" s="253"/>
      <c r="AD6" s="258" t="str">
        <f>IF(AND('Mapa final'!$H$21="Muy Alta",'Mapa final'!$L$21="Mayor"),CONCATENATE("R",'Mapa final'!$A$21),"")</f>
        <v/>
      </c>
      <c r="AE6" s="253"/>
      <c r="AF6" s="258" t="str">
        <f>IF(AND('Mapa final'!$H$26="Muy Alta",'Mapa final'!$L$26="Mayor"),CONCATENATE("R",'Mapa final'!$A$26),"")</f>
        <v/>
      </c>
      <c r="AG6" s="255"/>
      <c r="AH6" s="275" t="str">
        <f>IF(AND('Mapa final'!$H$16="Muy Alta",'Mapa final'!$L$16="Catastrófico"),CONCATENATE("R",'Mapa final'!$A$16),"")</f>
        <v/>
      </c>
      <c r="AI6" s="253"/>
      <c r="AJ6" s="259" t="str">
        <f>IF(AND('Mapa final'!$H$21="Muy Alta",'Mapa final'!$L$21="Catastrófico"),CONCATENATE("R",'Mapa final'!$A$21),"")</f>
        <v/>
      </c>
      <c r="AK6" s="253"/>
      <c r="AL6" s="259" t="str">
        <f>IF(AND('Mapa final'!$H$26="Muy Alta",'Mapa final'!$L$26="Catastrófico"),CONCATENATE("R",'Mapa final'!$A$26),"")</f>
        <v/>
      </c>
      <c r="AM6" s="255"/>
      <c r="AO6" s="286" t="s">
        <v>96</v>
      </c>
      <c r="AP6" s="287"/>
      <c r="AQ6" s="287"/>
      <c r="AR6" s="287"/>
      <c r="AS6" s="287"/>
      <c r="AT6" s="288"/>
    </row>
    <row r="7" spans="2:46" ht="15" customHeight="1" x14ac:dyDescent="0.25">
      <c r="B7" s="280"/>
      <c r="C7" s="235"/>
      <c r="D7" s="236"/>
      <c r="E7" s="247"/>
      <c r="F7" s="235"/>
      <c r="G7" s="235"/>
      <c r="H7" s="235"/>
      <c r="I7" s="236"/>
      <c r="J7" s="257"/>
      <c r="K7" s="254"/>
      <c r="L7" s="250"/>
      <c r="M7" s="254"/>
      <c r="N7" s="250"/>
      <c r="O7" s="251"/>
      <c r="P7" s="257"/>
      <c r="Q7" s="254"/>
      <c r="R7" s="250"/>
      <c r="S7" s="254"/>
      <c r="T7" s="250"/>
      <c r="U7" s="251"/>
      <c r="V7" s="257"/>
      <c r="W7" s="254"/>
      <c r="X7" s="250"/>
      <c r="Y7" s="254"/>
      <c r="Z7" s="250"/>
      <c r="AA7" s="251"/>
      <c r="AB7" s="257"/>
      <c r="AC7" s="254"/>
      <c r="AD7" s="250"/>
      <c r="AE7" s="254"/>
      <c r="AF7" s="250"/>
      <c r="AG7" s="251"/>
      <c r="AH7" s="257"/>
      <c r="AI7" s="254"/>
      <c r="AJ7" s="250"/>
      <c r="AK7" s="254"/>
      <c r="AL7" s="250"/>
      <c r="AM7" s="251"/>
      <c r="AN7" s="1"/>
      <c r="AO7" s="289"/>
      <c r="AP7" s="235"/>
      <c r="AQ7" s="235"/>
      <c r="AR7" s="235"/>
      <c r="AS7" s="235"/>
      <c r="AT7" s="290"/>
    </row>
    <row r="8" spans="2:46" ht="15" customHeight="1" x14ac:dyDescent="0.25">
      <c r="B8" s="280"/>
      <c r="C8" s="235"/>
      <c r="D8" s="236"/>
      <c r="E8" s="247"/>
      <c r="F8" s="235"/>
      <c r="G8" s="235"/>
      <c r="H8" s="235"/>
      <c r="I8" s="236"/>
      <c r="J8" s="263" t="str">
        <f>IF(AND('Mapa final'!$H$31="Muy Alta",'Mapa final'!$L$31="Leve"),CONCATENATE("R",'Mapa final'!$A$31),"")</f>
        <v/>
      </c>
      <c r="K8" s="261"/>
      <c r="L8" s="264" t="str">
        <f>IF(AND('Mapa final'!$H$36="Muy Alta",'Mapa final'!$L$36="Leve"),CONCATENATE("R",'Mapa final'!$A$36),"")</f>
        <v/>
      </c>
      <c r="M8" s="261"/>
      <c r="N8" s="264" t="str">
        <f>IF(AND('Mapa final'!$H$44="Muy Alta",'Mapa final'!$L$44="Leve"),CONCATENATE("R",'Mapa final'!$A$44),"")</f>
        <v/>
      </c>
      <c r="O8" s="249"/>
      <c r="P8" s="263" t="str">
        <f>IF(AND('Mapa final'!$H$31="Muy Alta",'Mapa final'!$L$31="Menor"),CONCATENATE("R",'Mapa final'!$A$31),"")</f>
        <v/>
      </c>
      <c r="Q8" s="261"/>
      <c r="R8" s="264" t="str">
        <f>IF(AND('Mapa final'!$H$36="Muy Alta",'Mapa final'!$L$36="Menor"),CONCATENATE("R",'Mapa final'!$A$36),"")</f>
        <v/>
      </c>
      <c r="S8" s="261"/>
      <c r="T8" s="264" t="str">
        <f>IF(AND('Mapa final'!$H$44="Muy Alta",'Mapa final'!$L$44="Menor"),CONCATENATE("R",'Mapa final'!$A$44),"")</f>
        <v>R7</v>
      </c>
      <c r="U8" s="249"/>
      <c r="V8" s="263" t="str">
        <f>IF(AND('Mapa final'!$H$31="Muy Alta",'Mapa final'!$L$31="Moderado"),CONCATENATE("R",'Mapa final'!$A$31),"")</f>
        <v/>
      </c>
      <c r="W8" s="261"/>
      <c r="X8" s="264" t="str">
        <f>IF(AND('Mapa final'!$H$36="Muy Alta",'Mapa final'!$L$36="Moderado"),CONCATENATE("R",'Mapa final'!$A$36),"")</f>
        <v/>
      </c>
      <c r="Y8" s="261"/>
      <c r="Z8" s="264" t="str">
        <f>IF(AND('Mapa final'!$H$44="Muy Alta",'Mapa final'!$L$44="Moderado"),CONCATENATE("R",'Mapa final'!$A$44),"")</f>
        <v/>
      </c>
      <c r="AA8" s="249"/>
      <c r="AB8" s="263" t="str">
        <f>IF(AND('Mapa final'!$H$31="Muy Alta",'Mapa final'!$L$31="Mayor"),CONCATENATE("R",'Mapa final'!$A$31),"")</f>
        <v/>
      </c>
      <c r="AC8" s="261"/>
      <c r="AD8" s="264" t="str">
        <f>IF(AND('Mapa final'!$H$36="Muy Alta",'Mapa final'!$L$36="Mayor"),CONCATENATE("R",'Mapa final'!$A$36),"")</f>
        <v/>
      </c>
      <c r="AE8" s="261"/>
      <c r="AF8" s="264" t="str">
        <f>IF(AND('Mapa final'!$H$44="Muy Alta",'Mapa final'!$L$44="Mayor"),CONCATENATE("R",'Mapa final'!$A$44),"")</f>
        <v/>
      </c>
      <c r="AG8" s="249"/>
      <c r="AH8" s="265" t="str">
        <f>IF(AND('Mapa final'!$H$31="Muy Alta",'Mapa final'!$L$31="Catastrófico"),CONCATENATE("R",'Mapa final'!$A$31),"")</f>
        <v/>
      </c>
      <c r="AI8" s="261"/>
      <c r="AJ8" s="266" t="str">
        <f>IF(AND('Mapa final'!$H$36="Muy Alta",'Mapa final'!$L$36="Catastrófico"),CONCATENATE("R",'Mapa final'!$A$36),"")</f>
        <v/>
      </c>
      <c r="AK8" s="261"/>
      <c r="AL8" s="266" t="str">
        <f>IF(AND('Mapa final'!$H$44="Muy Alta",'Mapa final'!$L$44="Catastrófico"),CONCATENATE("R",'Mapa final'!$A$44),"")</f>
        <v/>
      </c>
      <c r="AM8" s="249"/>
      <c r="AN8" s="1"/>
      <c r="AO8" s="289"/>
      <c r="AP8" s="235"/>
      <c r="AQ8" s="235"/>
      <c r="AR8" s="235"/>
      <c r="AS8" s="235"/>
      <c r="AT8" s="290"/>
    </row>
    <row r="9" spans="2:46" ht="15" customHeight="1" x14ac:dyDescent="0.25">
      <c r="B9" s="280"/>
      <c r="C9" s="235"/>
      <c r="D9" s="236"/>
      <c r="E9" s="247"/>
      <c r="F9" s="235"/>
      <c r="G9" s="235"/>
      <c r="H9" s="235"/>
      <c r="I9" s="236"/>
      <c r="J9" s="257"/>
      <c r="K9" s="254"/>
      <c r="L9" s="250"/>
      <c r="M9" s="254"/>
      <c r="N9" s="250"/>
      <c r="O9" s="251"/>
      <c r="P9" s="257"/>
      <c r="Q9" s="254"/>
      <c r="R9" s="250"/>
      <c r="S9" s="254"/>
      <c r="T9" s="250"/>
      <c r="U9" s="251"/>
      <c r="V9" s="257"/>
      <c r="W9" s="254"/>
      <c r="X9" s="250"/>
      <c r="Y9" s="254"/>
      <c r="Z9" s="250"/>
      <c r="AA9" s="251"/>
      <c r="AB9" s="257"/>
      <c r="AC9" s="254"/>
      <c r="AD9" s="250"/>
      <c r="AE9" s="254"/>
      <c r="AF9" s="250"/>
      <c r="AG9" s="251"/>
      <c r="AH9" s="257"/>
      <c r="AI9" s="254"/>
      <c r="AJ9" s="250"/>
      <c r="AK9" s="254"/>
      <c r="AL9" s="250"/>
      <c r="AM9" s="251"/>
      <c r="AN9" s="1"/>
      <c r="AO9" s="289"/>
      <c r="AP9" s="235"/>
      <c r="AQ9" s="235"/>
      <c r="AR9" s="235"/>
      <c r="AS9" s="235"/>
      <c r="AT9" s="290"/>
    </row>
    <row r="10" spans="2:46" ht="15" customHeight="1" x14ac:dyDescent="0.25">
      <c r="B10" s="280"/>
      <c r="C10" s="235"/>
      <c r="D10" s="236"/>
      <c r="E10" s="247"/>
      <c r="F10" s="235"/>
      <c r="G10" s="235"/>
      <c r="H10" s="235"/>
      <c r="I10" s="236"/>
      <c r="J10" s="263" t="e">
        <f>IF(AND('Mapa final'!#REF!="Muy Alta",'Mapa final'!#REF!="Leve"),CONCATENATE("R",'Mapa final'!#REF!),"")</f>
        <v>#REF!</v>
      </c>
      <c r="K10" s="261"/>
      <c r="L10" s="264" t="e">
        <f>IF(AND('Mapa final'!#REF!="Muy Alta",'Mapa final'!#REF!="Leve"),CONCATENATE("R",'Mapa final'!#REF!),"")</f>
        <v>#REF!</v>
      </c>
      <c r="M10" s="261"/>
      <c r="N10" s="264" t="e">
        <f>IF(AND('Mapa final'!#REF!="Muy Alta",'Mapa final'!#REF!="Leve"),CONCATENATE("R",'Mapa final'!#REF!),"")</f>
        <v>#REF!</v>
      </c>
      <c r="O10" s="249"/>
      <c r="P10" s="263" t="e">
        <f>IF(AND('Mapa final'!#REF!="Muy Alta",'Mapa final'!#REF!="Menor"),CONCATENATE("R",'Mapa final'!#REF!),"")</f>
        <v>#REF!</v>
      </c>
      <c r="Q10" s="261"/>
      <c r="R10" s="264" t="e">
        <f>IF(AND('Mapa final'!#REF!="Muy Alta",'Mapa final'!#REF!="Menor"),CONCATENATE("R",'Mapa final'!#REF!),"")</f>
        <v>#REF!</v>
      </c>
      <c r="S10" s="261"/>
      <c r="T10" s="264" t="e">
        <f>IF(AND('Mapa final'!#REF!="Muy Alta",'Mapa final'!#REF!="Menor"),CONCATENATE("R",'Mapa final'!#REF!),"")</f>
        <v>#REF!</v>
      </c>
      <c r="U10" s="249"/>
      <c r="V10" s="263" t="e">
        <f>IF(AND('Mapa final'!#REF!="Muy Alta",'Mapa final'!#REF!="Moderado"),CONCATENATE("R",'Mapa final'!#REF!),"")</f>
        <v>#REF!</v>
      </c>
      <c r="W10" s="261"/>
      <c r="X10" s="264" t="e">
        <f>IF(AND('Mapa final'!#REF!="Muy Alta",'Mapa final'!#REF!="Moderado"),CONCATENATE("R",'Mapa final'!#REF!),"")</f>
        <v>#REF!</v>
      </c>
      <c r="Y10" s="261"/>
      <c r="Z10" s="264" t="e">
        <f>IF(AND('Mapa final'!#REF!="Muy Alta",'Mapa final'!#REF!="Moderado"),CONCATENATE("R",'Mapa final'!#REF!),"")</f>
        <v>#REF!</v>
      </c>
      <c r="AA10" s="249"/>
      <c r="AB10" s="263" t="e">
        <f>IF(AND('Mapa final'!#REF!="Muy Alta",'Mapa final'!#REF!="Mayor"),CONCATENATE("R",'Mapa final'!#REF!),"")</f>
        <v>#REF!</v>
      </c>
      <c r="AC10" s="261"/>
      <c r="AD10" s="264" t="e">
        <f>IF(AND('Mapa final'!#REF!="Muy Alta",'Mapa final'!#REF!="Mayor"),CONCATENATE("R",'Mapa final'!#REF!),"")</f>
        <v>#REF!</v>
      </c>
      <c r="AE10" s="261"/>
      <c r="AF10" s="264" t="e">
        <f>IF(AND('Mapa final'!#REF!="Muy Alta",'Mapa final'!#REF!="Mayor"),CONCATENATE("R",'Mapa final'!#REF!),"")</f>
        <v>#REF!</v>
      </c>
      <c r="AG10" s="249"/>
      <c r="AH10" s="265" t="e">
        <f>IF(AND('Mapa final'!#REF!="Muy Alta",'Mapa final'!#REF!="Catastrófico"),CONCATENATE("R",'Mapa final'!#REF!),"")</f>
        <v>#REF!</v>
      </c>
      <c r="AI10" s="261"/>
      <c r="AJ10" s="266" t="e">
        <f>IF(AND('Mapa final'!#REF!="Muy Alta",'Mapa final'!#REF!="Catastrófico"),CONCATENATE("R",'Mapa final'!#REF!),"")</f>
        <v>#REF!</v>
      </c>
      <c r="AK10" s="261"/>
      <c r="AL10" s="266" t="e">
        <f>IF(AND('Mapa final'!#REF!="Muy Alta",'Mapa final'!#REF!="Catastrófico"),CONCATENATE("R",'Mapa final'!#REF!),"")</f>
        <v>#REF!</v>
      </c>
      <c r="AM10" s="249"/>
      <c r="AN10" s="1"/>
      <c r="AO10" s="289"/>
      <c r="AP10" s="235"/>
      <c r="AQ10" s="235"/>
      <c r="AR10" s="235"/>
      <c r="AS10" s="235"/>
      <c r="AT10" s="290"/>
    </row>
    <row r="11" spans="2:46" ht="15" customHeight="1" x14ac:dyDescent="0.25">
      <c r="B11" s="280"/>
      <c r="C11" s="235"/>
      <c r="D11" s="236"/>
      <c r="E11" s="247"/>
      <c r="F11" s="235"/>
      <c r="G11" s="235"/>
      <c r="H11" s="235"/>
      <c r="I11" s="236"/>
      <c r="J11" s="257"/>
      <c r="K11" s="254"/>
      <c r="L11" s="250"/>
      <c r="M11" s="254"/>
      <c r="N11" s="250"/>
      <c r="O11" s="251"/>
      <c r="P11" s="257"/>
      <c r="Q11" s="254"/>
      <c r="R11" s="250"/>
      <c r="S11" s="254"/>
      <c r="T11" s="250"/>
      <c r="U11" s="251"/>
      <c r="V11" s="257"/>
      <c r="W11" s="254"/>
      <c r="X11" s="250"/>
      <c r="Y11" s="254"/>
      <c r="Z11" s="250"/>
      <c r="AA11" s="251"/>
      <c r="AB11" s="257"/>
      <c r="AC11" s="254"/>
      <c r="AD11" s="250"/>
      <c r="AE11" s="254"/>
      <c r="AF11" s="250"/>
      <c r="AG11" s="251"/>
      <c r="AH11" s="257"/>
      <c r="AI11" s="254"/>
      <c r="AJ11" s="250"/>
      <c r="AK11" s="254"/>
      <c r="AL11" s="250"/>
      <c r="AM11" s="251"/>
      <c r="AN11" s="1"/>
      <c r="AO11" s="289"/>
      <c r="AP11" s="235"/>
      <c r="AQ11" s="235"/>
      <c r="AR11" s="235"/>
      <c r="AS11" s="235"/>
      <c r="AT11" s="290"/>
    </row>
    <row r="12" spans="2:46" ht="15" customHeight="1" x14ac:dyDescent="0.25">
      <c r="B12" s="280"/>
      <c r="C12" s="235"/>
      <c r="D12" s="236"/>
      <c r="E12" s="247"/>
      <c r="F12" s="235"/>
      <c r="G12" s="235"/>
      <c r="H12" s="235"/>
      <c r="I12" s="236"/>
      <c r="J12" s="263" t="e">
        <f>IF(AND('Mapa final'!#REF!="Muy Alta",'Mapa final'!#REF!="Leve"),CONCATENATE("R",'Mapa final'!#REF!),"")</f>
        <v>#REF!</v>
      </c>
      <c r="K12" s="261"/>
      <c r="L12" s="264" t="str">
        <f>IF(AND('Mapa final'!$H$49="Muy Alta",'Mapa final'!$L$49="Leve"),CONCATENATE("R",'Mapa final'!$A$49),"")</f>
        <v/>
      </c>
      <c r="M12" s="261"/>
      <c r="N12" s="264" t="str">
        <f>IF(AND('Mapa final'!$H$55="Muy Alta",'Mapa final'!$L$55="Leve"),CONCATENATE("R",'Mapa final'!$A$55),"")</f>
        <v/>
      </c>
      <c r="O12" s="249"/>
      <c r="P12" s="263" t="e">
        <f>IF(AND('Mapa final'!#REF!="Muy Alta",'Mapa final'!#REF!="Menor"),CONCATENATE("R",'Mapa final'!#REF!),"")</f>
        <v>#REF!</v>
      </c>
      <c r="Q12" s="261"/>
      <c r="R12" s="264" t="str">
        <f>IF(AND('Mapa final'!$H$49="Muy Alta",'Mapa final'!$L$49="Menor"),CONCATENATE("R",'Mapa final'!$A$49),"")</f>
        <v/>
      </c>
      <c r="S12" s="261"/>
      <c r="T12" s="264" t="str">
        <f>IF(AND('Mapa final'!$H$55="Muy Alta",'Mapa final'!$L$55="Menor"),CONCATENATE("R",'Mapa final'!$A$55),"")</f>
        <v/>
      </c>
      <c r="U12" s="249"/>
      <c r="V12" s="263" t="e">
        <f>IF(AND('Mapa final'!#REF!="Muy Alta",'Mapa final'!#REF!="Moderado"),CONCATENATE("R",'Mapa final'!#REF!),"")</f>
        <v>#REF!</v>
      </c>
      <c r="W12" s="261"/>
      <c r="X12" s="264" t="str">
        <f>IF(AND('Mapa final'!$H$49="Muy Alta",'Mapa final'!$L$49="Moderado"),CONCATENATE("R",'Mapa final'!$A$49),"")</f>
        <v/>
      </c>
      <c r="Y12" s="261"/>
      <c r="Z12" s="264" t="str">
        <f>IF(AND('Mapa final'!$H$55="Muy Alta",'Mapa final'!$L$55="Moderado"),CONCATENATE("R",'Mapa final'!$A$55),"")</f>
        <v/>
      </c>
      <c r="AA12" s="249"/>
      <c r="AB12" s="263" t="e">
        <f>IF(AND('Mapa final'!#REF!="Muy Alta",'Mapa final'!#REF!="Mayor"),CONCATENATE("R",'Mapa final'!#REF!),"")</f>
        <v>#REF!</v>
      </c>
      <c r="AC12" s="261"/>
      <c r="AD12" s="264" t="str">
        <f>IF(AND('Mapa final'!$H$49="Muy Alta",'Mapa final'!$L$49="Mayor"),CONCATENATE("R",'Mapa final'!$A$49),"")</f>
        <v/>
      </c>
      <c r="AE12" s="261"/>
      <c r="AF12" s="264" t="str">
        <f>IF(AND('Mapa final'!$H$55="Muy Alta",'Mapa final'!$L$55="Mayor"),CONCATENATE("R",'Mapa final'!$A$55),"")</f>
        <v/>
      </c>
      <c r="AG12" s="249"/>
      <c r="AH12" s="265" t="e">
        <f>IF(AND('Mapa final'!#REF!="Muy Alta",'Mapa final'!#REF!="Catastrófico"),CONCATENATE("R",'Mapa final'!#REF!),"")</f>
        <v>#REF!</v>
      </c>
      <c r="AI12" s="261"/>
      <c r="AJ12" s="266" t="str">
        <f>IF(AND('Mapa final'!$H$49="Muy Alta",'Mapa final'!$L$49="Catastrófico"),CONCATENATE("R",'Mapa final'!$A$49),"")</f>
        <v/>
      </c>
      <c r="AK12" s="261"/>
      <c r="AL12" s="266" t="str">
        <f>IF(AND('Mapa final'!$H$55="Muy Alta",'Mapa final'!$L$55="Catastrófico"),CONCATENATE("R",'Mapa final'!$A$55),"")</f>
        <v/>
      </c>
      <c r="AM12" s="249"/>
      <c r="AN12" s="1"/>
      <c r="AO12" s="289"/>
      <c r="AP12" s="235"/>
      <c r="AQ12" s="235"/>
      <c r="AR12" s="235"/>
      <c r="AS12" s="235"/>
      <c r="AT12" s="290"/>
    </row>
    <row r="13" spans="2:46" ht="15.75" customHeight="1" x14ac:dyDescent="0.25">
      <c r="B13" s="280"/>
      <c r="C13" s="235"/>
      <c r="D13" s="236"/>
      <c r="E13" s="270"/>
      <c r="F13" s="271"/>
      <c r="G13" s="271"/>
      <c r="H13" s="271"/>
      <c r="I13" s="274"/>
      <c r="J13" s="257"/>
      <c r="K13" s="254"/>
      <c r="L13" s="250"/>
      <c r="M13" s="254"/>
      <c r="N13" s="250"/>
      <c r="O13" s="251"/>
      <c r="P13" s="257"/>
      <c r="Q13" s="254"/>
      <c r="R13" s="250"/>
      <c r="S13" s="254"/>
      <c r="T13" s="250"/>
      <c r="U13" s="251"/>
      <c r="V13" s="257"/>
      <c r="W13" s="254"/>
      <c r="X13" s="250"/>
      <c r="Y13" s="254"/>
      <c r="Z13" s="250"/>
      <c r="AA13" s="251"/>
      <c r="AB13" s="257"/>
      <c r="AC13" s="254"/>
      <c r="AD13" s="250"/>
      <c r="AE13" s="254"/>
      <c r="AF13" s="250"/>
      <c r="AG13" s="251"/>
      <c r="AH13" s="270"/>
      <c r="AI13" s="272"/>
      <c r="AJ13" s="273"/>
      <c r="AK13" s="272"/>
      <c r="AL13" s="273"/>
      <c r="AM13" s="274"/>
      <c r="AN13" s="1"/>
      <c r="AO13" s="291"/>
      <c r="AP13" s="292"/>
      <c r="AQ13" s="292"/>
      <c r="AR13" s="292"/>
      <c r="AS13" s="292"/>
      <c r="AT13" s="293"/>
    </row>
    <row r="14" spans="2:46" ht="15" customHeight="1" x14ac:dyDescent="0.25">
      <c r="B14" s="280"/>
      <c r="C14" s="235"/>
      <c r="D14" s="236"/>
      <c r="E14" s="268" t="s">
        <v>97</v>
      </c>
      <c r="F14" s="269"/>
      <c r="G14" s="269"/>
      <c r="H14" s="269"/>
      <c r="I14" s="269"/>
      <c r="J14" s="267" t="str">
        <f>IF(AND('Mapa final'!$H$16="Alta",'Mapa final'!$L$16="Leve"),CONCATENATE("R",'Mapa final'!$A$16),"")</f>
        <v/>
      </c>
      <c r="K14" s="253"/>
      <c r="L14" s="252" t="str">
        <f>IF(AND('Mapa final'!$H$21="Alta",'Mapa final'!$L$21="Leve"),CONCATENATE("R",'Mapa final'!$A$21),"")</f>
        <v/>
      </c>
      <c r="M14" s="253"/>
      <c r="N14" s="252" t="str">
        <f>IF(AND('Mapa final'!$H$26="Alta",'Mapa final'!$L$26="Leve"),CONCATENATE("R",'Mapa final'!$A$26),"")</f>
        <v/>
      </c>
      <c r="O14" s="255"/>
      <c r="P14" s="267" t="str">
        <f>IF(AND('Mapa final'!$H$16="Alta",'Mapa final'!$L$16="Menor"),CONCATENATE("R",'Mapa final'!$A$16),"")</f>
        <v/>
      </c>
      <c r="Q14" s="253"/>
      <c r="R14" s="252" t="str">
        <f>IF(AND('Mapa final'!$H$21="Alta",'Mapa final'!$L$21="Menor"),CONCATENATE("R",'Mapa final'!$A$21),"")</f>
        <v/>
      </c>
      <c r="S14" s="253"/>
      <c r="T14" s="252" t="str">
        <f>IF(AND('Mapa final'!$H$26="Alta",'Mapa final'!$L$26="Menor"),CONCATENATE("R",'Mapa final'!$A$26),"")</f>
        <v/>
      </c>
      <c r="U14" s="255"/>
      <c r="V14" s="256" t="str">
        <f>IF(AND('Mapa final'!$H$16="Alta",'Mapa final'!$L$16="Moderado"),CONCATENATE("R",'Mapa final'!$A$16),"")</f>
        <v/>
      </c>
      <c r="W14" s="253"/>
      <c r="X14" s="258" t="str">
        <f>IF(AND('Mapa final'!$H$21="Alta",'Mapa final'!$L$21="Moderado"),CONCATENATE("R",'Mapa final'!$A$21),"")</f>
        <v>R2</v>
      </c>
      <c r="Y14" s="253"/>
      <c r="Z14" s="258" t="str">
        <f>IF(AND('Mapa final'!$H$26="Alta",'Mapa final'!$L$26="Moderado"),CONCATENATE("R",'Mapa final'!$A$26),"")</f>
        <v/>
      </c>
      <c r="AA14" s="255"/>
      <c r="AB14" s="256" t="str">
        <f>IF(AND('Mapa final'!$H$16="Alta",'Mapa final'!$L$16="Mayor"),CONCATENATE("R",'Mapa final'!$A$16),"")</f>
        <v/>
      </c>
      <c r="AC14" s="253"/>
      <c r="AD14" s="258" t="str">
        <f>IF(AND('Mapa final'!$H$21="Alta",'Mapa final'!$L$21="Mayor"),CONCATENATE("R",'Mapa final'!$A$21),"")</f>
        <v/>
      </c>
      <c r="AE14" s="253"/>
      <c r="AF14" s="258" t="str">
        <f>IF(AND('Mapa final'!$H$26="Alta",'Mapa final'!$L$26="Mayor"),CONCATENATE("R",'Mapa final'!$A$26),"")</f>
        <v/>
      </c>
      <c r="AG14" s="255"/>
      <c r="AH14" s="275" t="str">
        <f>IF(AND('Mapa final'!$H$16="Alta",'Mapa final'!$L$16="Catastrófico"),CONCATENATE("R",'Mapa final'!$A$16),"")</f>
        <v/>
      </c>
      <c r="AI14" s="253"/>
      <c r="AJ14" s="259" t="str">
        <f>IF(AND('Mapa final'!$H$21="Alta",'Mapa final'!$L$21="Catastrófico"),CONCATENATE("R",'Mapa final'!$A$21),"")</f>
        <v/>
      </c>
      <c r="AK14" s="253"/>
      <c r="AL14" s="259" t="str">
        <f>IF(AND('Mapa final'!$H$26="Alta",'Mapa final'!$L$26="Catastrófico"),CONCATENATE("R",'Mapa final'!$A$26),"")</f>
        <v/>
      </c>
      <c r="AM14" s="255"/>
      <c r="AN14" s="1"/>
      <c r="AO14" s="295" t="s">
        <v>98</v>
      </c>
      <c r="AP14" s="287"/>
      <c r="AQ14" s="287"/>
      <c r="AR14" s="287"/>
      <c r="AS14" s="287"/>
      <c r="AT14" s="288"/>
    </row>
    <row r="15" spans="2:46" ht="15" customHeight="1" x14ac:dyDescent="0.25">
      <c r="B15" s="280"/>
      <c r="C15" s="235"/>
      <c r="D15" s="236"/>
      <c r="E15" s="247"/>
      <c r="F15" s="235"/>
      <c r="G15" s="235"/>
      <c r="H15" s="235"/>
      <c r="I15" s="235"/>
      <c r="J15" s="257"/>
      <c r="K15" s="254"/>
      <c r="L15" s="250"/>
      <c r="M15" s="254"/>
      <c r="N15" s="250"/>
      <c r="O15" s="251"/>
      <c r="P15" s="257"/>
      <c r="Q15" s="254"/>
      <c r="R15" s="250"/>
      <c r="S15" s="254"/>
      <c r="T15" s="250"/>
      <c r="U15" s="251"/>
      <c r="V15" s="257"/>
      <c r="W15" s="254"/>
      <c r="X15" s="250"/>
      <c r="Y15" s="254"/>
      <c r="Z15" s="250"/>
      <c r="AA15" s="251"/>
      <c r="AB15" s="257"/>
      <c r="AC15" s="254"/>
      <c r="AD15" s="250"/>
      <c r="AE15" s="254"/>
      <c r="AF15" s="250"/>
      <c r="AG15" s="251"/>
      <c r="AH15" s="257"/>
      <c r="AI15" s="254"/>
      <c r="AJ15" s="250"/>
      <c r="AK15" s="254"/>
      <c r="AL15" s="250"/>
      <c r="AM15" s="251"/>
      <c r="AN15" s="1"/>
      <c r="AO15" s="289"/>
      <c r="AP15" s="235"/>
      <c r="AQ15" s="235"/>
      <c r="AR15" s="235"/>
      <c r="AS15" s="235"/>
      <c r="AT15" s="290"/>
    </row>
    <row r="16" spans="2:46" ht="15" customHeight="1" x14ac:dyDescent="0.25">
      <c r="B16" s="280"/>
      <c r="C16" s="235"/>
      <c r="D16" s="236"/>
      <c r="E16" s="247"/>
      <c r="F16" s="235"/>
      <c r="G16" s="235"/>
      <c r="H16" s="235"/>
      <c r="I16" s="235"/>
      <c r="J16" s="262" t="str">
        <f>IF(AND('Mapa final'!$H$31="Alta",'Mapa final'!$L$31="Leve"),CONCATENATE("R",'Mapa final'!$A$31),"")</f>
        <v/>
      </c>
      <c r="K16" s="261"/>
      <c r="L16" s="248" t="str">
        <f>IF(AND('Mapa final'!$H$36="Alta",'Mapa final'!$L$36="Leve"),CONCATENATE("R",'Mapa final'!$A$36),"")</f>
        <v/>
      </c>
      <c r="M16" s="261"/>
      <c r="N16" s="248" t="str">
        <f>IF(AND('Mapa final'!$H$44="Alta",'Mapa final'!$L$44="Leve"),CONCATENATE("R",'Mapa final'!$A$44),"")</f>
        <v/>
      </c>
      <c r="O16" s="249"/>
      <c r="P16" s="262" t="str">
        <f>IF(AND('Mapa final'!$H$31="Alta",'Mapa final'!$L$31="Menor"),CONCATENATE("R",'Mapa final'!$A$31),"")</f>
        <v/>
      </c>
      <c r="Q16" s="261"/>
      <c r="R16" s="248" t="str">
        <f>IF(AND('Mapa final'!$H$36="Alta",'Mapa final'!$L$36="Menor"),CONCATENATE("R",'Mapa final'!$A$36),"")</f>
        <v/>
      </c>
      <c r="S16" s="261"/>
      <c r="T16" s="248" t="str">
        <f>IF(AND('Mapa final'!$H$44="Alta",'Mapa final'!$L$44="Menor"),CONCATENATE("R",'Mapa final'!$A$44),"")</f>
        <v/>
      </c>
      <c r="U16" s="249"/>
      <c r="V16" s="263" t="str">
        <f>IF(AND('Mapa final'!$H$31="Alta",'Mapa final'!$L$31="Moderado"),CONCATENATE("R",'Mapa final'!$A$31),"")</f>
        <v/>
      </c>
      <c r="W16" s="261"/>
      <c r="X16" s="264" t="str">
        <f>IF(AND('Mapa final'!$H$36="Alta",'Mapa final'!$L$36="Moderado"),CONCATENATE("R",'Mapa final'!$A$36),"")</f>
        <v/>
      </c>
      <c r="Y16" s="261"/>
      <c r="Z16" s="264" t="str">
        <f>IF(AND('Mapa final'!$H$44="Alta",'Mapa final'!$L$44="Moderado"),CONCATENATE("R",'Mapa final'!$A$44),"")</f>
        <v/>
      </c>
      <c r="AA16" s="249"/>
      <c r="AB16" s="263" t="str">
        <f>IF(AND('Mapa final'!$H$31="Alta",'Mapa final'!$L$31="Mayor"),CONCATENATE("R",'Mapa final'!$A$31),"")</f>
        <v/>
      </c>
      <c r="AC16" s="261"/>
      <c r="AD16" s="264" t="str">
        <f>IF(AND('Mapa final'!$H$36="Alta",'Mapa final'!$L$36="Mayor"),CONCATENATE("R",'Mapa final'!$A$36),"")</f>
        <v/>
      </c>
      <c r="AE16" s="261"/>
      <c r="AF16" s="264" t="str">
        <f>IF(AND('Mapa final'!$H$44="Alta",'Mapa final'!$L$44="Mayor"),CONCATENATE("R",'Mapa final'!$A$44),"")</f>
        <v/>
      </c>
      <c r="AG16" s="249"/>
      <c r="AH16" s="265" t="str">
        <f>IF(AND('Mapa final'!$H$31="Alta",'Mapa final'!$L$31="Catastrófico"),CONCATENATE("R",'Mapa final'!$A$31),"")</f>
        <v/>
      </c>
      <c r="AI16" s="261"/>
      <c r="AJ16" s="266" t="str">
        <f>IF(AND('Mapa final'!$H$36="Alta",'Mapa final'!$L$36="Catastrófico"),CONCATENATE("R",'Mapa final'!$A$36),"")</f>
        <v/>
      </c>
      <c r="AK16" s="261"/>
      <c r="AL16" s="266" t="str">
        <f>IF(AND('Mapa final'!$H$44="Alta",'Mapa final'!$L$44="Catastrófico"),CONCATENATE("R",'Mapa final'!$A$44),"")</f>
        <v/>
      </c>
      <c r="AM16" s="249"/>
      <c r="AN16" s="1"/>
      <c r="AO16" s="289"/>
      <c r="AP16" s="235"/>
      <c r="AQ16" s="235"/>
      <c r="AR16" s="235"/>
      <c r="AS16" s="235"/>
      <c r="AT16" s="290"/>
    </row>
    <row r="17" spans="2:46" ht="15" customHeight="1" x14ac:dyDescent="0.25">
      <c r="B17" s="280"/>
      <c r="C17" s="235"/>
      <c r="D17" s="236"/>
      <c r="E17" s="247"/>
      <c r="F17" s="235"/>
      <c r="G17" s="235"/>
      <c r="H17" s="235"/>
      <c r="I17" s="235"/>
      <c r="J17" s="257"/>
      <c r="K17" s="254"/>
      <c r="L17" s="250"/>
      <c r="M17" s="254"/>
      <c r="N17" s="250"/>
      <c r="O17" s="251"/>
      <c r="P17" s="257"/>
      <c r="Q17" s="254"/>
      <c r="R17" s="250"/>
      <c r="S17" s="254"/>
      <c r="T17" s="250"/>
      <c r="U17" s="251"/>
      <c r="V17" s="257"/>
      <c r="W17" s="254"/>
      <c r="X17" s="250"/>
      <c r="Y17" s="254"/>
      <c r="Z17" s="250"/>
      <c r="AA17" s="251"/>
      <c r="AB17" s="257"/>
      <c r="AC17" s="254"/>
      <c r="AD17" s="250"/>
      <c r="AE17" s="254"/>
      <c r="AF17" s="250"/>
      <c r="AG17" s="251"/>
      <c r="AH17" s="257"/>
      <c r="AI17" s="254"/>
      <c r="AJ17" s="250"/>
      <c r="AK17" s="254"/>
      <c r="AL17" s="250"/>
      <c r="AM17" s="251"/>
      <c r="AN17" s="1"/>
      <c r="AO17" s="289"/>
      <c r="AP17" s="235"/>
      <c r="AQ17" s="235"/>
      <c r="AR17" s="235"/>
      <c r="AS17" s="235"/>
      <c r="AT17" s="290"/>
    </row>
    <row r="18" spans="2:46" ht="15" customHeight="1" x14ac:dyDescent="0.25">
      <c r="B18" s="280"/>
      <c r="C18" s="235"/>
      <c r="D18" s="236"/>
      <c r="E18" s="247"/>
      <c r="F18" s="235"/>
      <c r="G18" s="235"/>
      <c r="H18" s="235"/>
      <c r="I18" s="235"/>
      <c r="J18" s="262" t="e">
        <f>IF(AND('Mapa final'!#REF!="Alta",'Mapa final'!#REF!="Leve"),CONCATENATE("R",'Mapa final'!#REF!),"")</f>
        <v>#REF!</v>
      </c>
      <c r="K18" s="261"/>
      <c r="L18" s="248" t="e">
        <f>IF(AND('Mapa final'!#REF!="Alta",'Mapa final'!#REF!="Leve"),CONCATENATE("R",'Mapa final'!#REF!),"")</f>
        <v>#REF!</v>
      </c>
      <c r="M18" s="261"/>
      <c r="N18" s="248" t="e">
        <f>IF(AND('Mapa final'!#REF!="Alta",'Mapa final'!#REF!="Leve"),CONCATENATE("R",'Mapa final'!#REF!),"")</f>
        <v>#REF!</v>
      </c>
      <c r="O18" s="249"/>
      <c r="P18" s="262" t="e">
        <f>IF(AND('Mapa final'!#REF!="Alta",'Mapa final'!#REF!="Menor"),CONCATENATE("R",'Mapa final'!#REF!),"")</f>
        <v>#REF!</v>
      </c>
      <c r="Q18" s="261"/>
      <c r="R18" s="248" t="e">
        <f>IF(AND('Mapa final'!#REF!="Alta",'Mapa final'!#REF!="Menor"),CONCATENATE("R",'Mapa final'!#REF!),"")</f>
        <v>#REF!</v>
      </c>
      <c r="S18" s="261"/>
      <c r="T18" s="248" t="e">
        <f>IF(AND('Mapa final'!#REF!="Alta",'Mapa final'!#REF!="Menor"),CONCATENATE("R",'Mapa final'!#REF!),"")</f>
        <v>#REF!</v>
      </c>
      <c r="U18" s="249"/>
      <c r="V18" s="263" t="e">
        <f>IF(AND('Mapa final'!#REF!="Alta",'Mapa final'!#REF!="Moderado"),CONCATENATE("R",'Mapa final'!#REF!),"")</f>
        <v>#REF!</v>
      </c>
      <c r="W18" s="261"/>
      <c r="X18" s="264" t="e">
        <f>IF(AND('Mapa final'!#REF!="Alta",'Mapa final'!#REF!="Moderado"),CONCATENATE("R",'Mapa final'!#REF!),"")</f>
        <v>#REF!</v>
      </c>
      <c r="Y18" s="261"/>
      <c r="Z18" s="264" t="e">
        <f>IF(AND('Mapa final'!#REF!="Alta",'Mapa final'!#REF!="Moderado"),CONCATENATE("R",'Mapa final'!#REF!),"")</f>
        <v>#REF!</v>
      </c>
      <c r="AA18" s="249"/>
      <c r="AB18" s="263" t="e">
        <f>IF(AND('Mapa final'!#REF!="Alta",'Mapa final'!#REF!="Mayor"),CONCATENATE("R",'Mapa final'!#REF!),"")</f>
        <v>#REF!</v>
      </c>
      <c r="AC18" s="261"/>
      <c r="AD18" s="264" t="e">
        <f>IF(AND('Mapa final'!#REF!="Alta",'Mapa final'!#REF!="Mayor"),CONCATENATE("R",'Mapa final'!#REF!),"")</f>
        <v>#REF!</v>
      </c>
      <c r="AE18" s="261"/>
      <c r="AF18" s="264" t="e">
        <f>IF(AND('Mapa final'!#REF!="Alta",'Mapa final'!#REF!="Mayor"),CONCATENATE("R",'Mapa final'!#REF!),"")</f>
        <v>#REF!</v>
      </c>
      <c r="AG18" s="249"/>
      <c r="AH18" s="265" t="e">
        <f>IF(AND('Mapa final'!#REF!="Alta",'Mapa final'!#REF!="Catastrófico"),CONCATENATE("R",'Mapa final'!#REF!),"")</f>
        <v>#REF!</v>
      </c>
      <c r="AI18" s="261"/>
      <c r="AJ18" s="266" t="e">
        <f>IF(AND('Mapa final'!#REF!="Alta",'Mapa final'!#REF!="Catastrófico"),CONCATENATE("R",'Mapa final'!#REF!),"")</f>
        <v>#REF!</v>
      </c>
      <c r="AK18" s="261"/>
      <c r="AL18" s="266" t="e">
        <f>IF(AND('Mapa final'!#REF!="Alta",'Mapa final'!#REF!="Catastrófico"),CONCATENATE("R",'Mapa final'!#REF!),"")</f>
        <v>#REF!</v>
      </c>
      <c r="AM18" s="249"/>
      <c r="AN18" s="1"/>
      <c r="AO18" s="289"/>
      <c r="AP18" s="235"/>
      <c r="AQ18" s="235"/>
      <c r="AR18" s="235"/>
      <c r="AS18" s="235"/>
      <c r="AT18" s="290"/>
    </row>
    <row r="19" spans="2:46" ht="15" customHeight="1" x14ac:dyDescent="0.25">
      <c r="B19" s="280"/>
      <c r="C19" s="235"/>
      <c r="D19" s="236"/>
      <c r="E19" s="247"/>
      <c r="F19" s="235"/>
      <c r="G19" s="235"/>
      <c r="H19" s="235"/>
      <c r="I19" s="235"/>
      <c r="J19" s="257"/>
      <c r="K19" s="254"/>
      <c r="L19" s="250"/>
      <c r="M19" s="254"/>
      <c r="N19" s="250"/>
      <c r="O19" s="251"/>
      <c r="P19" s="257"/>
      <c r="Q19" s="254"/>
      <c r="R19" s="250"/>
      <c r="S19" s="254"/>
      <c r="T19" s="250"/>
      <c r="U19" s="251"/>
      <c r="V19" s="257"/>
      <c r="W19" s="254"/>
      <c r="X19" s="250"/>
      <c r="Y19" s="254"/>
      <c r="Z19" s="250"/>
      <c r="AA19" s="251"/>
      <c r="AB19" s="257"/>
      <c r="AC19" s="254"/>
      <c r="AD19" s="250"/>
      <c r="AE19" s="254"/>
      <c r="AF19" s="250"/>
      <c r="AG19" s="251"/>
      <c r="AH19" s="257"/>
      <c r="AI19" s="254"/>
      <c r="AJ19" s="250"/>
      <c r="AK19" s="254"/>
      <c r="AL19" s="250"/>
      <c r="AM19" s="251"/>
      <c r="AN19" s="1"/>
      <c r="AO19" s="289"/>
      <c r="AP19" s="235"/>
      <c r="AQ19" s="235"/>
      <c r="AR19" s="235"/>
      <c r="AS19" s="235"/>
      <c r="AT19" s="290"/>
    </row>
    <row r="20" spans="2:46" ht="15" customHeight="1" x14ac:dyDescent="0.25">
      <c r="B20" s="280"/>
      <c r="C20" s="235"/>
      <c r="D20" s="236"/>
      <c r="E20" s="247"/>
      <c r="F20" s="235"/>
      <c r="G20" s="235"/>
      <c r="H20" s="235"/>
      <c r="I20" s="235"/>
      <c r="J20" s="262" t="e">
        <f>IF(AND('Mapa final'!#REF!="Alta",'Mapa final'!#REF!="Leve"),CONCATENATE("R",'Mapa final'!#REF!),"")</f>
        <v>#REF!</v>
      </c>
      <c r="K20" s="261"/>
      <c r="L20" s="248" t="str">
        <f>IF(AND('Mapa final'!$H$49="Alta",'Mapa final'!$L$49="Leve"),CONCATENATE("R",'Mapa final'!$A$49),"")</f>
        <v/>
      </c>
      <c r="M20" s="261"/>
      <c r="N20" s="248" t="str">
        <f>IF(AND('Mapa final'!$H$55="Alta",'Mapa final'!$L$55="Leve"),CONCATENATE("R",'Mapa final'!$A$55),"")</f>
        <v/>
      </c>
      <c r="O20" s="249"/>
      <c r="P20" s="262" t="e">
        <f>IF(AND('Mapa final'!#REF!="Alta",'Mapa final'!#REF!="Menor"),CONCATENATE("R",'Mapa final'!#REF!),"")</f>
        <v>#REF!</v>
      </c>
      <c r="Q20" s="261"/>
      <c r="R20" s="248" t="str">
        <f>IF(AND('Mapa final'!$H$49="Alta",'Mapa final'!$L$49="Menor"),CONCATENATE("R",'Mapa final'!$A$49),"")</f>
        <v/>
      </c>
      <c r="S20" s="261"/>
      <c r="T20" s="248" t="str">
        <f>IF(AND('Mapa final'!$H$55="Alta",'Mapa final'!$L$55="Menor"),CONCATENATE("R",'Mapa final'!$A$55),"")</f>
        <v/>
      </c>
      <c r="U20" s="249"/>
      <c r="V20" s="263" t="e">
        <f>IF(AND('Mapa final'!#REF!="Alta",'Mapa final'!#REF!="Moderado"),CONCATENATE("R",'Mapa final'!#REF!),"")</f>
        <v>#REF!</v>
      </c>
      <c r="W20" s="261"/>
      <c r="X20" s="264" t="str">
        <f>IF(AND('Mapa final'!$H$49="Alta",'Mapa final'!$L$49="Moderado"),CONCATENATE("R",'Mapa final'!$A$49),"")</f>
        <v/>
      </c>
      <c r="Y20" s="261"/>
      <c r="Z20" s="264" t="str">
        <f>IF(AND('Mapa final'!$H$55="Alta",'Mapa final'!$L$55="Moderado"),CONCATENATE("R",'Mapa final'!$A$55),"")</f>
        <v/>
      </c>
      <c r="AA20" s="249"/>
      <c r="AB20" s="263" t="e">
        <f>IF(AND('Mapa final'!#REF!="Alta",'Mapa final'!#REF!="Mayor"),CONCATENATE("R",'Mapa final'!#REF!),"")</f>
        <v>#REF!</v>
      </c>
      <c r="AC20" s="261"/>
      <c r="AD20" s="264" t="str">
        <f>IF(AND('Mapa final'!$H$49="Alta",'Mapa final'!$L$49="Mayor"),CONCATENATE("R",'Mapa final'!$A$49),"")</f>
        <v/>
      </c>
      <c r="AE20" s="261"/>
      <c r="AF20" s="264" t="str">
        <f>IF(AND('Mapa final'!$H$55="Alta",'Mapa final'!$L$55="Mayor"),CONCATENATE("R",'Mapa final'!$A$55),"")</f>
        <v/>
      </c>
      <c r="AG20" s="249"/>
      <c r="AH20" s="265" t="e">
        <f>IF(AND('Mapa final'!#REF!="Alta",'Mapa final'!#REF!="Catastrófico"),CONCATENATE("R",'Mapa final'!#REF!),"")</f>
        <v>#REF!</v>
      </c>
      <c r="AI20" s="261"/>
      <c r="AJ20" s="266" t="str">
        <f>IF(AND('Mapa final'!$H$49="Alta",'Mapa final'!$L$49="Catastrófico"),CONCATENATE("R",'Mapa final'!$A$49),"")</f>
        <v/>
      </c>
      <c r="AK20" s="261"/>
      <c r="AL20" s="266" t="str">
        <f>IF(AND('Mapa final'!$H$55="Alta",'Mapa final'!$L$55="Catastrófico"),CONCATENATE("R",'Mapa final'!$A$55),"")</f>
        <v/>
      </c>
      <c r="AM20" s="249"/>
      <c r="AN20" s="1"/>
      <c r="AO20" s="289"/>
      <c r="AP20" s="235"/>
      <c r="AQ20" s="235"/>
      <c r="AR20" s="235"/>
      <c r="AS20" s="235"/>
      <c r="AT20" s="290"/>
    </row>
    <row r="21" spans="2:46" ht="15.75" customHeight="1" x14ac:dyDescent="0.25">
      <c r="B21" s="280"/>
      <c r="C21" s="235"/>
      <c r="D21" s="236"/>
      <c r="E21" s="270"/>
      <c r="F21" s="271"/>
      <c r="G21" s="271"/>
      <c r="H21" s="271"/>
      <c r="I21" s="271"/>
      <c r="J21" s="270"/>
      <c r="K21" s="272"/>
      <c r="L21" s="273"/>
      <c r="M21" s="272"/>
      <c r="N21" s="273"/>
      <c r="O21" s="274"/>
      <c r="P21" s="270"/>
      <c r="Q21" s="272"/>
      <c r="R21" s="273"/>
      <c r="S21" s="272"/>
      <c r="T21" s="273"/>
      <c r="U21" s="274"/>
      <c r="V21" s="270"/>
      <c r="W21" s="272"/>
      <c r="X21" s="273"/>
      <c r="Y21" s="272"/>
      <c r="Z21" s="273"/>
      <c r="AA21" s="274"/>
      <c r="AB21" s="270"/>
      <c r="AC21" s="272"/>
      <c r="AD21" s="273"/>
      <c r="AE21" s="272"/>
      <c r="AF21" s="273"/>
      <c r="AG21" s="274"/>
      <c r="AH21" s="270"/>
      <c r="AI21" s="272"/>
      <c r="AJ21" s="273"/>
      <c r="AK21" s="272"/>
      <c r="AL21" s="273"/>
      <c r="AM21" s="274"/>
      <c r="AN21" s="1"/>
      <c r="AO21" s="291"/>
      <c r="AP21" s="292"/>
      <c r="AQ21" s="292"/>
      <c r="AR21" s="292"/>
      <c r="AS21" s="292"/>
      <c r="AT21" s="293"/>
    </row>
    <row r="22" spans="2:46" ht="15.75" customHeight="1" x14ac:dyDescent="0.25">
      <c r="B22" s="280"/>
      <c r="C22" s="235"/>
      <c r="D22" s="236"/>
      <c r="E22" s="268" t="s">
        <v>99</v>
      </c>
      <c r="F22" s="269"/>
      <c r="G22" s="269"/>
      <c r="H22" s="269"/>
      <c r="I22" s="255"/>
      <c r="J22" s="267" t="str">
        <f>IF(AND('Mapa final'!$H$16="Media",'Mapa final'!$L$16="Leve"),CONCATENATE("R",'Mapa final'!$A$16),"")</f>
        <v/>
      </c>
      <c r="K22" s="253"/>
      <c r="L22" s="252" t="str">
        <f>IF(AND('Mapa final'!$H$21="Media",'Mapa final'!$L$21="Leve"),CONCATENATE("R",'Mapa final'!$A$21),"")</f>
        <v/>
      </c>
      <c r="M22" s="253"/>
      <c r="N22" s="252" t="str">
        <f>IF(AND('Mapa final'!$H$26="Media",'Mapa final'!$L$26="Leve"),CONCATENATE("R",'Mapa final'!$A$26),"")</f>
        <v/>
      </c>
      <c r="O22" s="255"/>
      <c r="P22" s="267" t="str">
        <f>IF(AND('Mapa final'!$H$16="Media",'Mapa final'!$L$16="Menor"),CONCATENATE("R",'Mapa final'!$A$16),"")</f>
        <v>R1</v>
      </c>
      <c r="Q22" s="253"/>
      <c r="R22" s="252" t="str">
        <f>IF(AND('Mapa final'!$H$21="Media",'Mapa final'!$L$21="Menor"),CONCATENATE("R",'Mapa final'!$A$21),"")</f>
        <v/>
      </c>
      <c r="S22" s="253"/>
      <c r="T22" s="252" t="str">
        <f>IF(AND('Mapa final'!$H$26="Media",'Mapa final'!$L$26="Menor"),CONCATENATE("R",'Mapa final'!$A$26),"")</f>
        <v/>
      </c>
      <c r="U22" s="255"/>
      <c r="V22" s="267" t="str">
        <f>IF(AND('Mapa final'!$H$16="Media",'Mapa final'!$L$16="Moderado"),CONCATENATE("R",'Mapa final'!$A$16),"")</f>
        <v/>
      </c>
      <c r="W22" s="253"/>
      <c r="X22" s="252" t="str">
        <f>IF(AND('Mapa final'!$H$21="Media",'Mapa final'!$L$21="Moderado"),CONCATENATE("R",'Mapa final'!$A$21),"")</f>
        <v/>
      </c>
      <c r="Y22" s="253"/>
      <c r="Z22" s="252" t="str">
        <f>IF(AND('Mapa final'!$H$26="Media",'Mapa final'!$L$26="Moderado"),CONCATENATE("R",'Mapa final'!$A$26),"")</f>
        <v/>
      </c>
      <c r="AA22" s="255"/>
      <c r="AB22" s="256" t="str">
        <f>IF(AND('Mapa final'!$H$16="Media",'Mapa final'!$L$16="Mayor"),CONCATENATE("R",'Mapa final'!$A$16),"")</f>
        <v/>
      </c>
      <c r="AC22" s="253"/>
      <c r="AD22" s="258" t="str">
        <f>IF(AND('Mapa final'!$H$21="Media",'Mapa final'!$L$21="Mayor"),CONCATENATE("R",'Mapa final'!$A$21),"")</f>
        <v/>
      </c>
      <c r="AE22" s="253"/>
      <c r="AF22" s="258" t="str">
        <f>IF(AND('Mapa final'!$H$26="Media",'Mapa final'!$L$26="Mayor"),CONCATENATE("R",'Mapa final'!$A$26),"")</f>
        <v/>
      </c>
      <c r="AG22" s="255"/>
      <c r="AH22" s="275" t="str">
        <f>IF(AND('Mapa final'!$H$16="Media",'Mapa final'!$L$16="Catastrófico"),CONCATENATE("R",'Mapa final'!$A$16),"")</f>
        <v/>
      </c>
      <c r="AI22" s="253"/>
      <c r="AJ22" s="259" t="str">
        <f>IF(AND('Mapa final'!$H$21="Media",'Mapa final'!$L$21="Catastrófico"),CONCATENATE("R",'Mapa final'!$A$21),"")</f>
        <v/>
      </c>
      <c r="AK22" s="253"/>
      <c r="AL22" s="259" t="str">
        <f>IF(AND('Mapa final'!$H$26="Media",'Mapa final'!$L$26="Catastrófico"),CONCATENATE("R",'Mapa final'!$A$26),"")</f>
        <v/>
      </c>
      <c r="AM22" s="255"/>
      <c r="AN22" s="1"/>
      <c r="AO22" s="296" t="s">
        <v>100</v>
      </c>
      <c r="AP22" s="287"/>
      <c r="AQ22" s="287"/>
      <c r="AR22" s="287"/>
      <c r="AS22" s="287"/>
      <c r="AT22" s="288"/>
    </row>
    <row r="23" spans="2:46" ht="15.75" customHeight="1" x14ac:dyDescent="0.25">
      <c r="B23" s="280"/>
      <c r="C23" s="235"/>
      <c r="D23" s="236"/>
      <c r="E23" s="247"/>
      <c r="F23" s="235"/>
      <c r="G23" s="235"/>
      <c r="H23" s="235"/>
      <c r="I23" s="236"/>
      <c r="J23" s="257"/>
      <c r="K23" s="254"/>
      <c r="L23" s="250"/>
      <c r="M23" s="254"/>
      <c r="N23" s="250"/>
      <c r="O23" s="251"/>
      <c r="P23" s="257"/>
      <c r="Q23" s="254"/>
      <c r="R23" s="250"/>
      <c r="S23" s="254"/>
      <c r="T23" s="250"/>
      <c r="U23" s="251"/>
      <c r="V23" s="257"/>
      <c r="W23" s="254"/>
      <c r="X23" s="250"/>
      <c r="Y23" s="254"/>
      <c r="Z23" s="250"/>
      <c r="AA23" s="251"/>
      <c r="AB23" s="257"/>
      <c r="AC23" s="254"/>
      <c r="AD23" s="250"/>
      <c r="AE23" s="254"/>
      <c r="AF23" s="250"/>
      <c r="AG23" s="251"/>
      <c r="AH23" s="257"/>
      <c r="AI23" s="254"/>
      <c r="AJ23" s="250"/>
      <c r="AK23" s="254"/>
      <c r="AL23" s="250"/>
      <c r="AM23" s="251"/>
      <c r="AN23" s="1"/>
      <c r="AO23" s="289"/>
      <c r="AP23" s="235"/>
      <c r="AQ23" s="235"/>
      <c r="AR23" s="235"/>
      <c r="AS23" s="235"/>
      <c r="AT23" s="290"/>
    </row>
    <row r="24" spans="2:46" ht="15.75" customHeight="1" x14ac:dyDescent="0.25">
      <c r="B24" s="280"/>
      <c r="C24" s="235"/>
      <c r="D24" s="236"/>
      <c r="E24" s="247"/>
      <c r="F24" s="235"/>
      <c r="G24" s="235"/>
      <c r="H24" s="235"/>
      <c r="I24" s="236"/>
      <c r="J24" s="262" t="str">
        <f>IF(AND('Mapa final'!$H$31="Media",'Mapa final'!$L$31="Leve"),CONCATENATE("R",'Mapa final'!$A$31),"")</f>
        <v/>
      </c>
      <c r="K24" s="261"/>
      <c r="L24" s="248" t="str">
        <f>IF(AND('Mapa final'!$H$36="Media",'Mapa final'!$L$36="Leve"),CONCATENATE("R",'Mapa final'!$A$36),"")</f>
        <v/>
      </c>
      <c r="M24" s="261"/>
      <c r="N24" s="248" t="str">
        <f>IF(AND('Mapa final'!$H$44="Media",'Mapa final'!$L$44="Leve"),CONCATENATE("R",'Mapa final'!$A$44),"")</f>
        <v/>
      </c>
      <c r="O24" s="249"/>
      <c r="P24" s="262" t="str">
        <f>IF(AND('Mapa final'!$H$31="Media",'Mapa final'!$L$31="Menor"),CONCATENATE("R",'Mapa final'!$A$31),"")</f>
        <v/>
      </c>
      <c r="Q24" s="261"/>
      <c r="R24" s="248" t="str">
        <f>IF(AND('Mapa final'!$H$36="Media",'Mapa final'!$L$36="Menor"),CONCATENATE("R",'Mapa final'!$A$36),"")</f>
        <v/>
      </c>
      <c r="S24" s="261"/>
      <c r="T24" s="248" t="str">
        <f>IF(AND('Mapa final'!$H$44="Media",'Mapa final'!$L$44="Menor"),CONCATENATE("R",'Mapa final'!$A$44),"")</f>
        <v/>
      </c>
      <c r="U24" s="249"/>
      <c r="V24" s="262" t="str">
        <f>IF(AND('Mapa final'!$H$31="Media",'Mapa final'!$L$31="Moderado"),CONCATENATE("R",'Mapa final'!$A$31),"")</f>
        <v>R4</v>
      </c>
      <c r="W24" s="261"/>
      <c r="X24" s="248" t="str">
        <f>IF(AND('Mapa final'!$H$36="Media",'Mapa final'!$L$36="Moderado"),CONCATENATE("R",'Mapa final'!$A$36),"")</f>
        <v/>
      </c>
      <c r="Y24" s="261"/>
      <c r="Z24" s="248" t="str">
        <f>IF(AND('Mapa final'!$H$44="Media",'Mapa final'!$L$44="Moderado"),CONCATENATE("R",'Mapa final'!$A$44),"")</f>
        <v/>
      </c>
      <c r="AA24" s="249"/>
      <c r="AB24" s="263" t="str">
        <f>IF(AND('Mapa final'!$H$31="Media",'Mapa final'!$L$31="Mayor"),CONCATENATE("R",'Mapa final'!$A$31),"")</f>
        <v/>
      </c>
      <c r="AC24" s="261"/>
      <c r="AD24" s="264" t="str">
        <f>IF(AND('Mapa final'!$H$36="Media",'Mapa final'!$L$36="Mayor"),CONCATENATE("R",'Mapa final'!$A$36),"")</f>
        <v/>
      </c>
      <c r="AE24" s="261"/>
      <c r="AF24" s="264" t="str">
        <f>IF(AND('Mapa final'!$H$44="Media",'Mapa final'!$L$44="Mayor"),CONCATENATE("R",'Mapa final'!$A$44),"")</f>
        <v/>
      </c>
      <c r="AG24" s="249"/>
      <c r="AH24" s="265" t="str">
        <f>IF(AND('Mapa final'!$H$31="Media",'Mapa final'!$L$31="Catastrófico"),CONCATENATE("R",'Mapa final'!$A$31),"")</f>
        <v/>
      </c>
      <c r="AI24" s="261"/>
      <c r="AJ24" s="266" t="str">
        <f>IF(AND('Mapa final'!$H$36="Media",'Mapa final'!$L$36="Catastrófico"),CONCATENATE("R",'Mapa final'!$A$36),"")</f>
        <v/>
      </c>
      <c r="AK24" s="261"/>
      <c r="AL24" s="266" t="str">
        <f>IF(AND('Mapa final'!$H$44="Media",'Mapa final'!$L$44="Catastrófico"),CONCATENATE("R",'Mapa final'!$A$44),"")</f>
        <v/>
      </c>
      <c r="AM24" s="249"/>
      <c r="AN24" s="1"/>
      <c r="AO24" s="289"/>
      <c r="AP24" s="235"/>
      <c r="AQ24" s="235"/>
      <c r="AR24" s="235"/>
      <c r="AS24" s="235"/>
      <c r="AT24" s="290"/>
    </row>
    <row r="25" spans="2:46" ht="15.75" customHeight="1" x14ac:dyDescent="0.25">
      <c r="B25" s="280"/>
      <c r="C25" s="235"/>
      <c r="D25" s="236"/>
      <c r="E25" s="247"/>
      <c r="F25" s="235"/>
      <c r="G25" s="235"/>
      <c r="H25" s="235"/>
      <c r="I25" s="236"/>
      <c r="J25" s="257"/>
      <c r="K25" s="254"/>
      <c r="L25" s="250"/>
      <c r="M25" s="254"/>
      <c r="N25" s="250"/>
      <c r="O25" s="251"/>
      <c r="P25" s="257"/>
      <c r="Q25" s="254"/>
      <c r="R25" s="250"/>
      <c r="S25" s="254"/>
      <c r="T25" s="250"/>
      <c r="U25" s="251"/>
      <c r="V25" s="257"/>
      <c r="W25" s="254"/>
      <c r="X25" s="250"/>
      <c r="Y25" s="254"/>
      <c r="Z25" s="250"/>
      <c r="AA25" s="251"/>
      <c r="AB25" s="257"/>
      <c r="AC25" s="254"/>
      <c r="AD25" s="250"/>
      <c r="AE25" s="254"/>
      <c r="AF25" s="250"/>
      <c r="AG25" s="251"/>
      <c r="AH25" s="257"/>
      <c r="AI25" s="254"/>
      <c r="AJ25" s="250"/>
      <c r="AK25" s="254"/>
      <c r="AL25" s="250"/>
      <c r="AM25" s="251"/>
      <c r="AN25" s="1"/>
      <c r="AO25" s="289"/>
      <c r="AP25" s="235"/>
      <c r="AQ25" s="235"/>
      <c r="AR25" s="235"/>
      <c r="AS25" s="235"/>
      <c r="AT25" s="290"/>
    </row>
    <row r="26" spans="2:46" ht="15.75" customHeight="1" x14ac:dyDescent="0.25">
      <c r="B26" s="280"/>
      <c r="C26" s="235"/>
      <c r="D26" s="236"/>
      <c r="E26" s="247"/>
      <c r="F26" s="235"/>
      <c r="G26" s="235"/>
      <c r="H26" s="235"/>
      <c r="I26" s="236"/>
      <c r="J26" s="262" t="e">
        <f>IF(AND('Mapa final'!#REF!="Media",'Mapa final'!#REF!="Leve"),CONCATENATE("R",'Mapa final'!#REF!),"")</f>
        <v>#REF!</v>
      </c>
      <c r="K26" s="261"/>
      <c r="L26" s="248" t="e">
        <f>IF(AND('Mapa final'!#REF!="Media",'Mapa final'!#REF!="Leve"),CONCATENATE("R",'Mapa final'!#REF!),"")</f>
        <v>#REF!</v>
      </c>
      <c r="M26" s="261"/>
      <c r="N26" s="248" t="e">
        <f>IF(AND('Mapa final'!#REF!="Media",'Mapa final'!#REF!="Leve"),CONCATENATE("R",'Mapa final'!#REF!),"")</f>
        <v>#REF!</v>
      </c>
      <c r="O26" s="249"/>
      <c r="P26" s="262" t="e">
        <f>IF(AND('Mapa final'!#REF!="Media",'Mapa final'!#REF!="Menor"),CONCATENATE("R",'Mapa final'!#REF!),"")</f>
        <v>#REF!</v>
      </c>
      <c r="Q26" s="261"/>
      <c r="R26" s="248" t="e">
        <f>IF(AND('Mapa final'!#REF!="Media",'Mapa final'!#REF!="Menor"),CONCATENATE("R",'Mapa final'!#REF!),"")</f>
        <v>#REF!</v>
      </c>
      <c r="S26" s="261"/>
      <c r="T26" s="248" t="e">
        <f>IF(AND('Mapa final'!#REF!="Media",'Mapa final'!#REF!="Menor"),CONCATENATE("R",'Mapa final'!#REF!),"")</f>
        <v>#REF!</v>
      </c>
      <c r="U26" s="249"/>
      <c r="V26" s="262" t="e">
        <f>IF(AND('Mapa final'!#REF!="Media",'Mapa final'!#REF!="Moderado"),CONCATENATE("R",'Mapa final'!#REF!),"")</f>
        <v>#REF!</v>
      </c>
      <c r="W26" s="261"/>
      <c r="X26" s="248" t="e">
        <f>IF(AND('Mapa final'!#REF!="Media",'Mapa final'!#REF!="Moderado"),CONCATENATE("R",'Mapa final'!#REF!),"")</f>
        <v>#REF!</v>
      </c>
      <c r="Y26" s="261"/>
      <c r="Z26" s="248" t="e">
        <f>IF(AND('Mapa final'!#REF!="Media",'Mapa final'!#REF!="Moderado"),CONCATENATE("R",'Mapa final'!#REF!),"")</f>
        <v>#REF!</v>
      </c>
      <c r="AA26" s="249"/>
      <c r="AB26" s="263" t="e">
        <f>IF(AND('Mapa final'!#REF!="Media",'Mapa final'!#REF!="Mayor"),CONCATENATE("R",'Mapa final'!#REF!),"")</f>
        <v>#REF!</v>
      </c>
      <c r="AC26" s="261"/>
      <c r="AD26" s="264" t="e">
        <f>IF(AND('Mapa final'!#REF!="Media",'Mapa final'!#REF!="Mayor"),CONCATENATE("R",'Mapa final'!#REF!),"")</f>
        <v>#REF!</v>
      </c>
      <c r="AE26" s="261"/>
      <c r="AF26" s="264" t="e">
        <f>IF(AND('Mapa final'!#REF!="Media",'Mapa final'!#REF!="Mayor"),CONCATENATE("R",'Mapa final'!#REF!),"")</f>
        <v>#REF!</v>
      </c>
      <c r="AG26" s="249"/>
      <c r="AH26" s="265" t="e">
        <f>IF(AND('Mapa final'!#REF!="Media",'Mapa final'!#REF!="Catastrófico"),CONCATENATE("R",'Mapa final'!#REF!),"")</f>
        <v>#REF!</v>
      </c>
      <c r="AI26" s="261"/>
      <c r="AJ26" s="266" t="e">
        <f>IF(AND('Mapa final'!#REF!="Media",'Mapa final'!#REF!="Catastrófico"),CONCATENATE("R",'Mapa final'!#REF!),"")</f>
        <v>#REF!</v>
      </c>
      <c r="AK26" s="261"/>
      <c r="AL26" s="266" t="e">
        <f>IF(AND('Mapa final'!#REF!="Media",'Mapa final'!#REF!="Catastrófico"),CONCATENATE("R",'Mapa final'!#REF!),"")</f>
        <v>#REF!</v>
      </c>
      <c r="AM26" s="249"/>
      <c r="AN26" s="1"/>
      <c r="AO26" s="289"/>
      <c r="AP26" s="235"/>
      <c r="AQ26" s="235"/>
      <c r="AR26" s="235"/>
      <c r="AS26" s="235"/>
      <c r="AT26" s="290"/>
    </row>
    <row r="27" spans="2:46" ht="15.75" customHeight="1" x14ac:dyDescent="0.25">
      <c r="B27" s="280"/>
      <c r="C27" s="235"/>
      <c r="D27" s="236"/>
      <c r="E27" s="247"/>
      <c r="F27" s="235"/>
      <c r="G27" s="235"/>
      <c r="H27" s="235"/>
      <c r="I27" s="236"/>
      <c r="J27" s="257"/>
      <c r="K27" s="254"/>
      <c r="L27" s="250"/>
      <c r="M27" s="254"/>
      <c r="N27" s="250"/>
      <c r="O27" s="251"/>
      <c r="P27" s="257"/>
      <c r="Q27" s="254"/>
      <c r="R27" s="250"/>
      <c r="S27" s="254"/>
      <c r="T27" s="250"/>
      <c r="U27" s="251"/>
      <c r="V27" s="257"/>
      <c r="W27" s="254"/>
      <c r="X27" s="250"/>
      <c r="Y27" s="254"/>
      <c r="Z27" s="250"/>
      <c r="AA27" s="251"/>
      <c r="AB27" s="257"/>
      <c r="AC27" s="254"/>
      <c r="AD27" s="250"/>
      <c r="AE27" s="254"/>
      <c r="AF27" s="250"/>
      <c r="AG27" s="251"/>
      <c r="AH27" s="257"/>
      <c r="AI27" s="254"/>
      <c r="AJ27" s="250"/>
      <c r="AK27" s="254"/>
      <c r="AL27" s="250"/>
      <c r="AM27" s="251"/>
      <c r="AN27" s="1"/>
      <c r="AO27" s="289"/>
      <c r="AP27" s="235"/>
      <c r="AQ27" s="235"/>
      <c r="AR27" s="235"/>
      <c r="AS27" s="235"/>
      <c r="AT27" s="290"/>
    </row>
    <row r="28" spans="2:46" ht="15.75" customHeight="1" x14ac:dyDescent="0.25">
      <c r="B28" s="280"/>
      <c r="C28" s="235"/>
      <c r="D28" s="236"/>
      <c r="E28" s="247"/>
      <c r="F28" s="235"/>
      <c r="G28" s="235"/>
      <c r="H28" s="235"/>
      <c r="I28" s="236"/>
      <c r="J28" s="262" t="e">
        <f>IF(AND('Mapa final'!#REF!="Media",'Mapa final'!#REF!="Leve"),CONCATENATE("R",'Mapa final'!#REF!),"")</f>
        <v>#REF!</v>
      </c>
      <c r="K28" s="261"/>
      <c r="L28" s="248" t="str">
        <f>IF(AND('Mapa final'!$H$49="Media",'Mapa final'!$L$49="Leve"),CONCATENATE("R",'Mapa final'!$A$49),"")</f>
        <v/>
      </c>
      <c r="M28" s="261"/>
      <c r="N28" s="248" t="str">
        <f>IF(AND('Mapa final'!$H$55="Media",'Mapa final'!$L$55="Leve"),CONCATENATE("R",'Mapa final'!$A$55),"")</f>
        <v/>
      </c>
      <c r="O28" s="249"/>
      <c r="P28" s="262" t="e">
        <f>IF(AND('Mapa final'!#REF!="Media",'Mapa final'!#REF!="Menor"),CONCATENATE("R",'Mapa final'!#REF!),"")</f>
        <v>#REF!</v>
      </c>
      <c r="Q28" s="261"/>
      <c r="R28" s="248" t="str">
        <f>IF(AND('Mapa final'!$H$49="Media",'Mapa final'!$L$49="Menor"),CONCATENATE("R",'Mapa final'!$A$49),"")</f>
        <v/>
      </c>
      <c r="S28" s="261"/>
      <c r="T28" s="248" t="str">
        <f>IF(AND('Mapa final'!$H$55="Media",'Mapa final'!$L$55="Menor"),CONCATENATE("R",'Mapa final'!$A$55),"")</f>
        <v/>
      </c>
      <c r="U28" s="249"/>
      <c r="V28" s="262" t="e">
        <f>IF(AND('Mapa final'!#REF!="Media",'Mapa final'!#REF!="Moderado"),CONCATENATE("R",'Mapa final'!#REF!),"")</f>
        <v>#REF!</v>
      </c>
      <c r="W28" s="261"/>
      <c r="X28" s="248" t="str">
        <f>IF(AND('Mapa final'!$H$49="Media",'Mapa final'!$L$49="Moderado"),CONCATENATE("R",'Mapa final'!$A$49),"")</f>
        <v/>
      </c>
      <c r="Y28" s="261"/>
      <c r="Z28" s="248" t="str">
        <f>IF(AND('Mapa final'!$H$55="Media",'Mapa final'!$L$55="Moderado"),CONCATENATE("R",'Mapa final'!$A$55),"")</f>
        <v/>
      </c>
      <c r="AA28" s="249"/>
      <c r="AB28" s="263" t="e">
        <f>IF(AND('Mapa final'!#REF!="Media",'Mapa final'!#REF!="Mayor"),CONCATENATE("R",'Mapa final'!#REF!),"")</f>
        <v>#REF!</v>
      </c>
      <c r="AC28" s="261"/>
      <c r="AD28" s="264" t="str">
        <f>IF(AND('Mapa final'!$H$49="Media",'Mapa final'!$L$49="Mayor"),CONCATENATE("R",'Mapa final'!$A$49),"")</f>
        <v/>
      </c>
      <c r="AE28" s="261"/>
      <c r="AF28" s="264" t="str">
        <f>IF(AND('Mapa final'!$H$55="Media",'Mapa final'!$L$55="Mayor"),CONCATENATE("R",'Mapa final'!$A$55),"")</f>
        <v/>
      </c>
      <c r="AG28" s="249"/>
      <c r="AH28" s="265" t="e">
        <f>IF(AND('Mapa final'!#REF!="Media",'Mapa final'!#REF!="Catastrófico"),CONCATENATE("R",'Mapa final'!#REF!),"")</f>
        <v>#REF!</v>
      </c>
      <c r="AI28" s="261"/>
      <c r="AJ28" s="266" t="str">
        <f>IF(AND('Mapa final'!$H$49="Media",'Mapa final'!$L$49="Catastrófico"),CONCATENATE("R",'Mapa final'!$A$49),"")</f>
        <v/>
      </c>
      <c r="AK28" s="261"/>
      <c r="AL28" s="266" t="str">
        <f>IF(AND('Mapa final'!$H$55="Media",'Mapa final'!$L$55="Catastrófico"),CONCATENATE("R",'Mapa final'!$A$55),"")</f>
        <v/>
      </c>
      <c r="AM28" s="249"/>
      <c r="AN28" s="1"/>
      <c r="AO28" s="289"/>
      <c r="AP28" s="235"/>
      <c r="AQ28" s="235"/>
      <c r="AR28" s="235"/>
      <c r="AS28" s="235"/>
      <c r="AT28" s="290"/>
    </row>
    <row r="29" spans="2:46" ht="15.75" customHeight="1" x14ac:dyDescent="0.25">
      <c r="B29" s="280"/>
      <c r="C29" s="235"/>
      <c r="D29" s="236"/>
      <c r="E29" s="270"/>
      <c r="F29" s="271"/>
      <c r="G29" s="271"/>
      <c r="H29" s="271"/>
      <c r="I29" s="274"/>
      <c r="J29" s="257"/>
      <c r="K29" s="254"/>
      <c r="L29" s="250"/>
      <c r="M29" s="254"/>
      <c r="N29" s="250"/>
      <c r="O29" s="251"/>
      <c r="P29" s="270"/>
      <c r="Q29" s="272"/>
      <c r="R29" s="273"/>
      <c r="S29" s="272"/>
      <c r="T29" s="273"/>
      <c r="U29" s="274"/>
      <c r="V29" s="270"/>
      <c r="W29" s="272"/>
      <c r="X29" s="273"/>
      <c r="Y29" s="272"/>
      <c r="Z29" s="273"/>
      <c r="AA29" s="274"/>
      <c r="AB29" s="270"/>
      <c r="AC29" s="272"/>
      <c r="AD29" s="273"/>
      <c r="AE29" s="272"/>
      <c r="AF29" s="273"/>
      <c r="AG29" s="274"/>
      <c r="AH29" s="270"/>
      <c r="AI29" s="272"/>
      <c r="AJ29" s="273"/>
      <c r="AK29" s="272"/>
      <c r="AL29" s="273"/>
      <c r="AM29" s="274"/>
      <c r="AN29" s="1"/>
      <c r="AO29" s="291"/>
      <c r="AP29" s="292"/>
      <c r="AQ29" s="292"/>
      <c r="AR29" s="292"/>
      <c r="AS29" s="292"/>
      <c r="AT29" s="293"/>
    </row>
    <row r="30" spans="2:46" ht="15.75" customHeight="1" x14ac:dyDescent="0.25">
      <c r="B30" s="280"/>
      <c r="C30" s="235"/>
      <c r="D30" s="236"/>
      <c r="E30" s="268" t="s">
        <v>101</v>
      </c>
      <c r="F30" s="269"/>
      <c r="G30" s="269"/>
      <c r="H30" s="269"/>
      <c r="I30" s="269"/>
      <c r="J30" s="285" t="str">
        <f>IF(AND('Mapa final'!$H$16="Baja",'Mapa final'!$L$16="Leve"),CONCATENATE("R",'Mapa final'!$A$16),"")</f>
        <v/>
      </c>
      <c r="K30" s="253"/>
      <c r="L30" s="284" t="str">
        <f>IF(AND('Mapa final'!$H$21="Baja",'Mapa final'!$L$21="Leve"),CONCATENATE("R",'Mapa final'!$A$21),"")</f>
        <v/>
      </c>
      <c r="M30" s="253"/>
      <c r="N30" s="284" t="str">
        <f>IF(AND('Mapa final'!$H$26="Baja",'Mapa final'!$L$26="Leve"),CONCATENATE("R",'Mapa final'!$A$26),"")</f>
        <v/>
      </c>
      <c r="O30" s="255"/>
      <c r="P30" s="252" t="str">
        <f>IF(AND('Mapa final'!$H$16="Baja",'Mapa final'!$L$16="Menor"),CONCATENATE("R",'Mapa final'!$A$16),"")</f>
        <v/>
      </c>
      <c r="Q30" s="253"/>
      <c r="R30" s="252" t="str">
        <f>IF(AND('Mapa final'!$H$21="Baja",'Mapa final'!$L$21="Menor"),CONCATENATE("R",'Mapa final'!$A$21),"")</f>
        <v/>
      </c>
      <c r="S30" s="253"/>
      <c r="T30" s="252" t="str">
        <f>IF(AND('Mapa final'!$H$26="Baja",'Mapa final'!$L$26="Menor"),CONCATENATE("R",'Mapa final'!$A$26),"")</f>
        <v/>
      </c>
      <c r="U30" s="255"/>
      <c r="V30" s="267" t="str">
        <f>IF(AND('Mapa final'!$H$16="Baja",'Mapa final'!$L$16="Moderado"),CONCATENATE("R",'Mapa final'!$A$16),"")</f>
        <v/>
      </c>
      <c r="W30" s="253"/>
      <c r="X30" s="252" t="str">
        <f>IF(AND('Mapa final'!$H$21="Baja",'Mapa final'!$L$21="Moderado"),CONCATENATE("R",'Mapa final'!$A$21),"")</f>
        <v/>
      </c>
      <c r="Y30" s="253"/>
      <c r="Z30" s="252" t="str">
        <f>IF(AND('Mapa final'!$H$26="Baja",'Mapa final'!$L$26="Moderado"),CONCATENATE("R",'Mapa final'!$A$26),"")</f>
        <v/>
      </c>
      <c r="AA30" s="255"/>
      <c r="AB30" s="256" t="str">
        <f>IF(AND('Mapa final'!$H$16="Baja",'Mapa final'!$L$16="Mayor"),CONCATENATE("R",'Mapa final'!$A$16),"")</f>
        <v/>
      </c>
      <c r="AC30" s="253"/>
      <c r="AD30" s="258" t="str">
        <f>IF(AND('Mapa final'!$H$21="Baja",'Mapa final'!$L$21="Mayor"),CONCATENATE("R",'Mapa final'!$A$21),"")</f>
        <v/>
      </c>
      <c r="AE30" s="253"/>
      <c r="AF30" s="258" t="str">
        <f>IF(AND('Mapa final'!$H$26="Baja",'Mapa final'!$L$26="Mayor"),CONCATENATE("R",'Mapa final'!$A$26),"")</f>
        <v/>
      </c>
      <c r="AG30" s="255"/>
      <c r="AH30" s="275" t="str">
        <f>IF(AND('Mapa final'!$H$16="Baja",'Mapa final'!$L$16="Catastrófico"),CONCATENATE("R",'Mapa final'!$A$16),"")</f>
        <v/>
      </c>
      <c r="AI30" s="253"/>
      <c r="AJ30" s="259" t="str">
        <f>IF(AND('Mapa final'!$H$21="Baja",'Mapa final'!$L$21="Catastrófico"),CONCATENATE("R",'Mapa final'!$A$21),"")</f>
        <v/>
      </c>
      <c r="AK30" s="253"/>
      <c r="AL30" s="259" t="str">
        <f>IF(AND('Mapa final'!$H$26="Baja",'Mapa final'!$L$26="Catastrófico"),CONCATENATE("R",'Mapa final'!$A$26),"")</f>
        <v/>
      </c>
      <c r="AM30" s="255"/>
      <c r="AN30" s="1"/>
      <c r="AO30" s="294" t="s">
        <v>102</v>
      </c>
      <c r="AP30" s="287"/>
      <c r="AQ30" s="287"/>
      <c r="AR30" s="287"/>
      <c r="AS30" s="287"/>
      <c r="AT30" s="288"/>
    </row>
    <row r="31" spans="2:46" ht="15.75" customHeight="1" x14ac:dyDescent="0.25">
      <c r="B31" s="280"/>
      <c r="C31" s="235"/>
      <c r="D31" s="236"/>
      <c r="E31" s="247"/>
      <c r="F31" s="235"/>
      <c r="G31" s="235"/>
      <c r="H31" s="235"/>
      <c r="I31" s="235"/>
      <c r="J31" s="257"/>
      <c r="K31" s="254"/>
      <c r="L31" s="250"/>
      <c r="M31" s="254"/>
      <c r="N31" s="250"/>
      <c r="O31" s="251"/>
      <c r="P31" s="250"/>
      <c r="Q31" s="254"/>
      <c r="R31" s="250"/>
      <c r="S31" s="254"/>
      <c r="T31" s="250"/>
      <c r="U31" s="251"/>
      <c r="V31" s="257"/>
      <c r="W31" s="254"/>
      <c r="X31" s="250"/>
      <c r="Y31" s="254"/>
      <c r="Z31" s="250"/>
      <c r="AA31" s="251"/>
      <c r="AB31" s="257"/>
      <c r="AC31" s="254"/>
      <c r="AD31" s="250"/>
      <c r="AE31" s="254"/>
      <c r="AF31" s="250"/>
      <c r="AG31" s="251"/>
      <c r="AH31" s="257"/>
      <c r="AI31" s="254"/>
      <c r="AJ31" s="250"/>
      <c r="AK31" s="254"/>
      <c r="AL31" s="250"/>
      <c r="AM31" s="251"/>
      <c r="AN31" s="1"/>
      <c r="AO31" s="289"/>
      <c r="AP31" s="235"/>
      <c r="AQ31" s="235"/>
      <c r="AR31" s="235"/>
      <c r="AS31" s="235"/>
      <c r="AT31" s="290"/>
    </row>
    <row r="32" spans="2:46" ht="15.75" customHeight="1" x14ac:dyDescent="0.25">
      <c r="B32" s="280"/>
      <c r="C32" s="235"/>
      <c r="D32" s="236"/>
      <c r="E32" s="247"/>
      <c r="F32" s="235"/>
      <c r="G32" s="235"/>
      <c r="H32" s="235"/>
      <c r="I32" s="235"/>
      <c r="J32" s="276" t="str">
        <f>IF(AND('Mapa final'!$H$31="Baja",'Mapa final'!$L$31="Leve"),CONCATENATE("R",'Mapa final'!$A$31),"")</f>
        <v/>
      </c>
      <c r="K32" s="261"/>
      <c r="L32" s="260" t="str">
        <f>IF(AND('Mapa final'!$H$36="Baja",'Mapa final'!$L$36="Leve"),CONCATENATE("R",'Mapa final'!$A$36),"")</f>
        <v/>
      </c>
      <c r="M32" s="261"/>
      <c r="N32" s="260" t="str">
        <f>IF(AND('Mapa final'!$H$44="Baja",'Mapa final'!$L$44="Leve"),CONCATENATE("R",'Mapa final'!$A$44),"")</f>
        <v/>
      </c>
      <c r="O32" s="249"/>
      <c r="P32" s="248" t="str">
        <f>IF(AND('Mapa final'!$H$31="Baja",'Mapa final'!$L$31="Menor"),CONCATENATE("R",'Mapa final'!$A$31),"")</f>
        <v/>
      </c>
      <c r="Q32" s="261"/>
      <c r="R32" s="248" t="str">
        <f>IF(AND('Mapa final'!$H$36="Baja",'Mapa final'!$L$36="Menor"),CONCATENATE("R",'Mapa final'!$A$36),"")</f>
        <v/>
      </c>
      <c r="S32" s="261"/>
      <c r="T32" s="248" t="str">
        <f>IF(AND('Mapa final'!$H$44="Baja",'Mapa final'!$L$44="Menor"),CONCATENATE("R",'Mapa final'!$A$44),"")</f>
        <v/>
      </c>
      <c r="U32" s="249"/>
      <c r="V32" s="262" t="str">
        <f>IF(AND('Mapa final'!$H$31="Baja",'Mapa final'!$L$31="Moderado"),CONCATENATE("R",'Mapa final'!$A$31),"")</f>
        <v/>
      </c>
      <c r="W32" s="261"/>
      <c r="X32" s="248" t="str">
        <f>IF(AND('Mapa final'!$H$36="Baja",'Mapa final'!$L$36="Moderado"),CONCATENATE("R",'Mapa final'!$A$36),"")</f>
        <v>R5</v>
      </c>
      <c r="Y32" s="261"/>
      <c r="Z32" s="248" t="str">
        <f>IF(AND('Mapa final'!$H$44="Baja",'Mapa final'!$L$44="Moderado"),CONCATENATE("R",'Mapa final'!$A$44),"")</f>
        <v/>
      </c>
      <c r="AA32" s="249"/>
      <c r="AB32" s="263" t="str">
        <f>IF(AND('Mapa final'!$H$31="Baja",'Mapa final'!$L$31="Mayor"),CONCATENATE("R",'Mapa final'!$A$31),"")</f>
        <v/>
      </c>
      <c r="AC32" s="261"/>
      <c r="AD32" s="264" t="str">
        <f>IF(AND('Mapa final'!$H$36="Baja",'Mapa final'!$L$36="Mayor"),CONCATENATE("R",'Mapa final'!$A$36),"")</f>
        <v/>
      </c>
      <c r="AE32" s="261"/>
      <c r="AF32" s="264" t="str">
        <f>IF(AND('Mapa final'!$H$44="Baja",'Mapa final'!$L$44="Mayor"),CONCATENATE("R",'Mapa final'!$A$44),"")</f>
        <v/>
      </c>
      <c r="AG32" s="249"/>
      <c r="AH32" s="265" t="str">
        <f>IF(AND('Mapa final'!$H$31="Baja",'Mapa final'!$L$31="Catastrófico"),CONCATENATE("R",'Mapa final'!$A$31),"")</f>
        <v/>
      </c>
      <c r="AI32" s="261"/>
      <c r="AJ32" s="266" t="str">
        <f>IF(AND('Mapa final'!$H$36="Baja",'Mapa final'!$L$36="Catastrófico"),CONCATENATE("R",'Mapa final'!$A$36),"")</f>
        <v/>
      </c>
      <c r="AK32" s="261"/>
      <c r="AL32" s="266" t="str">
        <f>IF(AND('Mapa final'!$H$44="Baja",'Mapa final'!$L$44="Catastrófico"),CONCATENATE("R",'Mapa final'!$A$44),"")</f>
        <v/>
      </c>
      <c r="AM32" s="249"/>
      <c r="AN32" s="1"/>
      <c r="AO32" s="289"/>
      <c r="AP32" s="235"/>
      <c r="AQ32" s="235"/>
      <c r="AR32" s="235"/>
      <c r="AS32" s="235"/>
      <c r="AT32" s="290"/>
    </row>
    <row r="33" spans="2:46" ht="15.75" customHeight="1" x14ac:dyDescent="0.25">
      <c r="B33" s="280"/>
      <c r="C33" s="235"/>
      <c r="D33" s="236"/>
      <c r="E33" s="247"/>
      <c r="F33" s="235"/>
      <c r="G33" s="235"/>
      <c r="H33" s="235"/>
      <c r="I33" s="235"/>
      <c r="J33" s="257"/>
      <c r="K33" s="254"/>
      <c r="L33" s="250"/>
      <c r="M33" s="254"/>
      <c r="N33" s="250"/>
      <c r="O33" s="251"/>
      <c r="P33" s="250"/>
      <c r="Q33" s="254"/>
      <c r="R33" s="250"/>
      <c r="S33" s="254"/>
      <c r="T33" s="250"/>
      <c r="U33" s="251"/>
      <c r="V33" s="257"/>
      <c r="W33" s="254"/>
      <c r="X33" s="250"/>
      <c r="Y33" s="254"/>
      <c r="Z33" s="250"/>
      <c r="AA33" s="251"/>
      <c r="AB33" s="257"/>
      <c r="AC33" s="254"/>
      <c r="AD33" s="250"/>
      <c r="AE33" s="254"/>
      <c r="AF33" s="250"/>
      <c r="AG33" s="251"/>
      <c r="AH33" s="257"/>
      <c r="AI33" s="254"/>
      <c r="AJ33" s="250"/>
      <c r="AK33" s="254"/>
      <c r="AL33" s="250"/>
      <c r="AM33" s="251"/>
      <c r="AN33" s="1"/>
      <c r="AO33" s="289"/>
      <c r="AP33" s="235"/>
      <c r="AQ33" s="235"/>
      <c r="AR33" s="235"/>
      <c r="AS33" s="235"/>
      <c r="AT33" s="290"/>
    </row>
    <row r="34" spans="2:46" ht="15.75" customHeight="1" x14ac:dyDescent="0.25">
      <c r="B34" s="280"/>
      <c r="C34" s="235"/>
      <c r="D34" s="236"/>
      <c r="E34" s="247"/>
      <c r="F34" s="235"/>
      <c r="G34" s="235"/>
      <c r="H34" s="235"/>
      <c r="I34" s="235"/>
      <c r="J34" s="276" t="e">
        <f>IF(AND('Mapa final'!#REF!="Baja",'Mapa final'!#REF!="Leve"),CONCATENATE("R",'Mapa final'!#REF!),"")</f>
        <v>#REF!</v>
      </c>
      <c r="K34" s="261"/>
      <c r="L34" s="260" t="e">
        <f>IF(AND('Mapa final'!#REF!="Baja",'Mapa final'!#REF!="Leve"),CONCATENATE("R",'Mapa final'!#REF!),"")</f>
        <v>#REF!</v>
      </c>
      <c r="M34" s="261"/>
      <c r="N34" s="260" t="e">
        <f>IF(AND('Mapa final'!#REF!="Baja",'Mapa final'!#REF!="Leve"),CONCATENATE("R",'Mapa final'!#REF!),"")</f>
        <v>#REF!</v>
      </c>
      <c r="O34" s="249"/>
      <c r="P34" s="248" t="e">
        <f>IF(AND('Mapa final'!#REF!="Baja",'Mapa final'!#REF!="Menor"),CONCATENATE("R",'Mapa final'!#REF!),"")</f>
        <v>#REF!</v>
      </c>
      <c r="Q34" s="261"/>
      <c r="R34" s="248" t="e">
        <f>IF(AND('Mapa final'!#REF!="Baja",'Mapa final'!#REF!="Menor"),CONCATENATE("R",'Mapa final'!#REF!),"")</f>
        <v>#REF!</v>
      </c>
      <c r="S34" s="261"/>
      <c r="T34" s="248" t="e">
        <f>IF(AND('Mapa final'!#REF!="Baja",'Mapa final'!#REF!="Menor"),CONCATENATE("R",'Mapa final'!#REF!),"")</f>
        <v>#REF!</v>
      </c>
      <c r="U34" s="249"/>
      <c r="V34" s="262" t="e">
        <f>IF(AND('Mapa final'!#REF!="Baja",'Mapa final'!#REF!="Moderado"),CONCATENATE("R",'Mapa final'!#REF!),"")</f>
        <v>#REF!</v>
      </c>
      <c r="W34" s="261"/>
      <c r="X34" s="248" t="e">
        <f>IF(AND('Mapa final'!#REF!="Baja",'Mapa final'!#REF!="Moderado"),CONCATENATE("R",'Mapa final'!#REF!),"")</f>
        <v>#REF!</v>
      </c>
      <c r="Y34" s="261"/>
      <c r="Z34" s="248" t="e">
        <f>IF(AND('Mapa final'!#REF!="Baja",'Mapa final'!#REF!="Moderado"),CONCATENATE("R",'Mapa final'!#REF!),"")</f>
        <v>#REF!</v>
      </c>
      <c r="AA34" s="249"/>
      <c r="AB34" s="263" t="e">
        <f>IF(AND('Mapa final'!#REF!="Baja",'Mapa final'!#REF!="Mayor"),CONCATENATE("R",'Mapa final'!#REF!),"")</f>
        <v>#REF!</v>
      </c>
      <c r="AC34" s="261"/>
      <c r="AD34" s="264" t="e">
        <f>IF(AND('Mapa final'!#REF!="Baja",'Mapa final'!#REF!="Mayor"),CONCATENATE("R",'Mapa final'!#REF!),"")</f>
        <v>#REF!</v>
      </c>
      <c r="AE34" s="261"/>
      <c r="AF34" s="264" t="e">
        <f>IF(AND('Mapa final'!#REF!="Baja",'Mapa final'!#REF!="Mayor"),CONCATENATE("R",'Mapa final'!#REF!),"")</f>
        <v>#REF!</v>
      </c>
      <c r="AG34" s="249"/>
      <c r="AH34" s="265" t="e">
        <f>IF(AND('Mapa final'!#REF!="Baja",'Mapa final'!#REF!="Catastrófico"),CONCATENATE("R",'Mapa final'!#REF!),"")</f>
        <v>#REF!</v>
      </c>
      <c r="AI34" s="261"/>
      <c r="AJ34" s="266" t="e">
        <f>IF(AND('Mapa final'!#REF!="Baja",'Mapa final'!#REF!="Catastrófico"),CONCATENATE("R",'Mapa final'!#REF!),"")</f>
        <v>#REF!</v>
      </c>
      <c r="AK34" s="261"/>
      <c r="AL34" s="266" t="e">
        <f>IF(AND('Mapa final'!#REF!="Baja",'Mapa final'!#REF!="Catastrófico"),CONCATENATE("R",'Mapa final'!#REF!),"")</f>
        <v>#REF!</v>
      </c>
      <c r="AM34" s="249"/>
      <c r="AN34" s="1"/>
      <c r="AO34" s="289"/>
      <c r="AP34" s="235"/>
      <c r="AQ34" s="235"/>
      <c r="AR34" s="235"/>
      <c r="AS34" s="235"/>
      <c r="AT34" s="290"/>
    </row>
    <row r="35" spans="2:46" ht="15.75" customHeight="1" x14ac:dyDescent="0.25">
      <c r="B35" s="280"/>
      <c r="C35" s="235"/>
      <c r="D35" s="236"/>
      <c r="E35" s="247"/>
      <c r="F35" s="235"/>
      <c r="G35" s="235"/>
      <c r="H35" s="235"/>
      <c r="I35" s="235"/>
      <c r="J35" s="257"/>
      <c r="K35" s="254"/>
      <c r="L35" s="250"/>
      <c r="M35" s="254"/>
      <c r="N35" s="250"/>
      <c r="O35" s="251"/>
      <c r="P35" s="250"/>
      <c r="Q35" s="254"/>
      <c r="R35" s="250"/>
      <c r="S35" s="254"/>
      <c r="T35" s="250"/>
      <c r="U35" s="251"/>
      <c r="V35" s="257"/>
      <c r="W35" s="254"/>
      <c r="X35" s="250"/>
      <c r="Y35" s="254"/>
      <c r="Z35" s="250"/>
      <c r="AA35" s="251"/>
      <c r="AB35" s="257"/>
      <c r="AC35" s="254"/>
      <c r="AD35" s="250"/>
      <c r="AE35" s="254"/>
      <c r="AF35" s="250"/>
      <c r="AG35" s="251"/>
      <c r="AH35" s="257"/>
      <c r="AI35" s="254"/>
      <c r="AJ35" s="250"/>
      <c r="AK35" s="254"/>
      <c r="AL35" s="250"/>
      <c r="AM35" s="251"/>
      <c r="AN35" s="1"/>
      <c r="AO35" s="289"/>
      <c r="AP35" s="235"/>
      <c r="AQ35" s="235"/>
      <c r="AR35" s="235"/>
      <c r="AS35" s="235"/>
      <c r="AT35" s="290"/>
    </row>
    <row r="36" spans="2:46" ht="15.75" customHeight="1" x14ac:dyDescent="0.25">
      <c r="B36" s="280"/>
      <c r="C36" s="235"/>
      <c r="D36" s="236"/>
      <c r="E36" s="247"/>
      <c r="F36" s="235"/>
      <c r="G36" s="235"/>
      <c r="H36" s="235"/>
      <c r="I36" s="235"/>
      <c r="J36" s="276" t="e">
        <f>IF(AND('Mapa final'!#REF!="Baja",'Mapa final'!#REF!="Leve"),CONCATENATE("R",'Mapa final'!#REF!),"")</f>
        <v>#REF!</v>
      </c>
      <c r="K36" s="261"/>
      <c r="L36" s="260" t="str">
        <f>IF(AND('Mapa final'!$H$49="Baja",'Mapa final'!$L$49="Leve"),CONCATENATE("R",'Mapa final'!$A$49),"")</f>
        <v/>
      </c>
      <c r="M36" s="261"/>
      <c r="N36" s="260" t="str">
        <f>IF(AND('Mapa final'!$H$55="Baja",'Mapa final'!$L$55="Leve"),CONCATENATE("R",'Mapa final'!$A$55),"")</f>
        <v/>
      </c>
      <c r="O36" s="249"/>
      <c r="P36" s="248" t="e">
        <f>IF(AND('Mapa final'!#REF!="Baja",'Mapa final'!#REF!="Menor"),CONCATENATE("R",'Mapa final'!#REF!),"")</f>
        <v>#REF!</v>
      </c>
      <c r="Q36" s="261"/>
      <c r="R36" s="248" t="str">
        <f>IF(AND('Mapa final'!$H$49="Baja",'Mapa final'!$L$49="Menor"),CONCATENATE("R",'Mapa final'!$A$49),"")</f>
        <v/>
      </c>
      <c r="S36" s="261"/>
      <c r="T36" s="248" t="str">
        <f>IF(AND('Mapa final'!$H$55="Baja",'Mapa final'!$L$55="Menor"),CONCATENATE("R",'Mapa final'!$A$55),"")</f>
        <v/>
      </c>
      <c r="U36" s="249"/>
      <c r="V36" s="262" t="e">
        <f>IF(AND('Mapa final'!#REF!="Baja",'Mapa final'!#REF!="Moderado"),CONCATENATE("R",'Mapa final'!#REF!),"")</f>
        <v>#REF!</v>
      </c>
      <c r="W36" s="261"/>
      <c r="X36" s="248" t="str">
        <f>IF(AND('Mapa final'!$H$49="Baja",'Mapa final'!$L$49="Moderado"),CONCATENATE("R",'Mapa final'!$A$49),"")</f>
        <v/>
      </c>
      <c r="Y36" s="261"/>
      <c r="Z36" s="248" t="str">
        <f>IF(AND('Mapa final'!$H$55="Baja",'Mapa final'!$L$55="Moderado"),CONCATENATE("R",'Mapa final'!$A$55),"")</f>
        <v/>
      </c>
      <c r="AA36" s="249"/>
      <c r="AB36" s="263" t="e">
        <f>IF(AND('Mapa final'!#REF!="Baja",'Mapa final'!#REF!="Mayor"),CONCATENATE("R",'Mapa final'!#REF!),"")</f>
        <v>#REF!</v>
      </c>
      <c r="AC36" s="261"/>
      <c r="AD36" s="264" t="str">
        <f>IF(AND('Mapa final'!$H$49="Baja",'Mapa final'!$L$49="Mayor"),CONCATENATE("R",'Mapa final'!$A$49),"")</f>
        <v/>
      </c>
      <c r="AE36" s="261"/>
      <c r="AF36" s="264" t="str">
        <f>IF(AND('Mapa final'!$H$55="Baja",'Mapa final'!$L$55="Mayor"),CONCATENATE("R",'Mapa final'!$A$55),"")</f>
        <v/>
      </c>
      <c r="AG36" s="249"/>
      <c r="AH36" s="265" t="e">
        <f>IF(AND('Mapa final'!#REF!="Baja",'Mapa final'!#REF!="Catastrófico"),CONCATENATE("R",'Mapa final'!#REF!),"")</f>
        <v>#REF!</v>
      </c>
      <c r="AI36" s="261"/>
      <c r="AJ36" s="266" t="str">
        <f>IF(AND('Mapa final'!$H$49="Baja",'Mapa final'!$L$49="Catastrófico"),CONCATENATE("R",'Mapa final'!$A$49),"")</f>
        <v/>
      </c>
      <c r="AK36" s="261"/>
      <c r="AL36" s="266" t="str">
        <f>IF(AND('Mapa final'!$H$55="Baja",'Mapa final'!$L$55="Catastrófico"),CONCATENATE("R",'Mapa final'!$A$55),"")</f>
        <v/>
      </c>
      <c r="AM36" s="249"/>
      <c r="AN36" s="1"/>
      <c r="AO36" s="289"/>
      <c r="AP36" s="235"/>
      <c r="AQ36" s="235"/>
      <c r="AR36" s="235"/>
      <c r="AS36" s="235"/>
      <c r="AT36" s="290"/>
    </row>
    <row r="37" spans="2:46" ht="15.75" customHeight="1" x14ac:dyDescent="0.25">
      <c r="B37" s="280"/>
      <c r="C37" s="235"/>
      <c r="D37" s="236"/>
      <c r="E37" s="270"/>
      <c r="F37" s="271"/>
      <c r="G37" s="271"/>
      <c r="H37" s="271"/>
      <c r="I37" s="271"/>
      <c r="J37" s="270"/>
      <c r="K37" s="272"/>
      <c r="L37" s="273"/>
      <c r="M37" s="272"/>
      <c r="N37" s="273"/>
      <c r="O37" s="274"/>
      <c r="P37" s="273"/>
      <c r="Q37" s="272"/>
      <c r="R37" s="273"/>
      <c r="S37" s="272"/>
      <c r="T37" s="273"/>
      <c r="U37" s="274"/>
      <c r="V37" s="270"/>
      <c r="W37" s="272"/>
      <c r="X37" s="273"/>
      <c r="Y37" s="272"/>
      <c r="Z37" s="273"/>
      <c r="AA37" s="274"/>
      <c r="AB37" s="270"/>
      <c r="AC37" s="272"/>
      <c r="AD37" s="273"/>
      <c r="AE37" s="272"/>
      <c r="AF37" s="273"/>
      <c r="AG37" s="274"/>
      <c r="AH37" s="270"/>
      <c r="AI37" s="272"/>
      <c r="AJ37" s="273"/>
      <c r="AK37" s="272"/>
      <c r="AL37" s="273"/>
      <c r="AM37" s="274"/>
      <c r="AN37" s="1"/>
      <c r="AO37" s="291"/>
      <c r="AP37" s="292"/>
      <c r="AQ37" s="292"/>
      <c r="AR37" s="292"/>
      <c r="AS37" s="292"/>
      <c r="AT37" s="293"/>
    </row>
    <row r="38" spans="2:46" ht="15.75" customHeight="1" x14ac:dyDescent="0.25">
      <c r="B38" s="280"/>
      <c r="C38" s="235"/>
      <c r="D38" s="236"/>
      <c r="E38" s="268" t="s">
        <v>103</v>
      </c>
      <c r="F38" s="269"/>
      <c r="G38" s="269"/>
      <c r="H38" s="269"/>
      <c r="I38" s="255"/>
      <c r="J38" s="285" t="str">
        <f>IF(AND('Mapa final'!$H$16="Muy Baja",'Mapa final'!$L$16="Leve"),CONCATENATE("R",'Mapa final'!$A$16),"")</f>
        <v/>
      </c>
      <c r="K38" s="253"/>
      <c r="L38" s="284" t="str">
        <f>IF(AND('Mapa final'!$H$21="Muy Baja",'Mapa final'!$L$21="Leve"),CONCATENATE("R",'Mapa final'!$A$21),"")</f>
        <v/>
      </c>
      <c r="M38" s="253"/>
      <c r="N38" s="284" t="str">
        <f>IF(AND('Mapa final'!$H$26="Muy Baja",'Mapa final'!$L$26="Leve"),CONCATENATE("R",'Mapa final'!$A$26),"")</f>
        <v/>
      </c>
      <c r="O38" s="255"/>
      <c r="P38" s="285" t="str">
        <f>IF(AND('Mapa final'!$H$16="Muy Baja",'Mapa final'!$L$16="Menor"),CONCATENATE("R",'Mapa final'!$A$16),"")</f>
        <v/>
      </c>
      <c r="Q38" s="253"/>
      <c r="R38" s="284" t="str">
        <f>IF(AND('Mapa final'!$H$21="Muy Baja",'Mapa final'!$L$21="Menor"),CONCATENATE("R",'Mapa final'!$A$21),"")</f>
        <v/>
      </c>
      <c r="S38" s="253"/>
      <c r="T38" s="284" t="str">
        <f>IF(AND('Mapa final'!$H$26="Muy Baja",'Mapa final'!$L$26="Menor"),CONCATENATE("R",'Mapa final'!$A$26),"")</f>
        <v/>
      </c>
      <c r="U38" s="255"/>
      <c r="V38" s="267" t="str">
        <f>IF(AND('Mapa final'!$H$16="Muy Baja",'Mapa final'!$L$16="Moderado"),CONCATENATE("R",'Mapa final'!$A$16),"")</f>
        <v/>
      </c>
      <c r="W38" s="253"/>
      <c r="X38" s="252" t="str">
        <f>IF(AND('Mapa final'!$H$21="Muy Baja",'Mapa final'!$L$21="Moderado"),CONCATENATE("R",'Mapa final'!$A$21),"")</f>
        <v/>
      </c>
      <c r="Y38" s="253"/>
      <c r="Z38" s="252" t="str">
        <f>IF(AND('Mapa final'!$H$26="Muy Baja",'Mapa final'!$L$26="Moderado"),CONCATENATE("R",'Mapa final'!$A$26),"")</f>
        <v>R3</v>
      </c>
      <c r="AA38" s="255"/>
      <c r="AB38" s="256" t="str">
        <f>IF(AND('Mapa final'!$H$16="Muy Baja",'Mapa final'!$L$16="Mayor"),CONCATENATE("R",'Mapa final'!$A$16),"")</f>
        <v/>
      </c>
      <c r="AC38" s="253"/>
      <c r="AD38" s="258" t="str">
        <f>IF(AND('Mapa final'!$H$21="Muy Baja",'Mapa final'!$L$21="Mayor"),CONCATENATE("R",'Mapa final'!$A$21),"")</f>
        <v/>
      </c>
      <c r="AE38" s="253"/>
      <c r="AF38" s="258" t="str">
        <f>IF(AND('Mapa final'!$H$26="Muy Baja",'Mapa final'!$L$26="Mayor"),CONCATENATE("R",'Mapa final'!$A$26),"")</f>
        <v/>
      </c>
      <c r="AG38" s="255"/>
      <c r="AH38" s="275" t="str">
        <f>IF(AND('Mapa final'!$H$16="Muy Baja",'Mapa final'!$L$16="Catastrófico"),CONCATENATE("R",'Mapa final'!$A$16),"")</f>
        <v/>
      </c>
      <c r="AI38" s="253"/>
      <c r="AJ38" s="259" t="str">
        <f>IF(AND('Mapa final'!$H$21="Muy Baja",'Mapa final'!$L$21="Catastrófico"),CONCATENATE("R",'Mapa final'!$A$21),"")</f>
        <v/>
      </c>
      <c r="AK38" s="253"/>
      <c r="AL38" s="259" t="str">
        <f>IF(AND('Mapa final'!$H$26="Muy Baja",'Mapa final'!$L$26="Catastrófico"),CONCATENATE("R",'Mapa final'!$A$26),"")</f>
        <v/>
      </c>
      <c r="AM38" s="255"/>
      <c r="AN38" s="1"/>
      <c r="AO38" s="1"/>
      <c r="AP38" s="1"/>
      <c r="AQ38" s="1"/>
      <c r="AR38" s="1"/>
      <c r="AS38" s="1"/>
      <c r="AT38" s="1"/>
    </row>
    <row r="39" spans="2:46" ht="15.75" customHeight="1" x14ac:dyDescent="0.25">
      <c r="B39" s="280"/>
      <c r="C39" s="235"/>
      <c r="D39" s="236"/>
      <c r="E39" s="247"/>
      <c r="F39" s="235"/>
      <c r="G39" s="235"/>
      <c r="H39" s="235"/>
      <c r="I39" s="236"/>
      <c r="J39" s="257"/>
      <c r="K39" s="254"/>
      <c r="L39" s="250"/>
      <c r="M39" s="254"/>
      <c r="N39" s="250"/>
      <c r="O39" s="251"/>
      <c r="P39" s="257"/>
      <c r="Q39" s="254"/>
      <c r="R39" s="250"/>
      <c r="S39" s="254"/>
      <c r="T39" s="250"/>
      <c r="U39" s="251"/>
      <c r="V39" s="257"/>
      <c r="W39" s="254"/>
      <c r="X39" s="250"/>
      <c r="Y39" s="254"/>
      <c r="Z39" s="250"/>
      <c r="AA39" s="251"/>
      <c r="AB39" s="257"/>
      <c r="AC39" s="254"/>
      <c r="AD39" s="250"/>
      <c r="AE39" s="254"/>
      <c r="AF39" s="250"/>
      <c r="AG39" s="251"/>
      <c r="AH39" s="257"/>
      <c r="AI39" s="254"/>
      <c r="AJ39" s="250"/>
      <c r="AK39" s="254"/>
      <c r="AL39" s="250"/>
      <c r="AM39" s="251"/>
      <c r="AN39" s="1"/>
      <c r="AO39" s="1"/>
      <c r="AP39" s="1"/>
      <c r="AQ39" s="1"/>
      <c r="AR39" s="1"/>
      <c r="AS39" s="1"/>
      <c r="AT39" s="1"/>
    </row>
    <row r="40" spans="2:46" ht="15.75" customHeight="1" x14ac:dyDescent="0.25">
      <c r="B40" s="280"/>
      <c r="C40" s="235"/>
      <c r="D40" s="236"/>
      <c r="E40" s="247"/>
      <c r="F40" s="235"/>
      <c r="G40" s="235"/>
      <c r="H40" s="235"/>
      <c r="I40" s="236"/>
      <c r="J40" s="276" t="str">
        <f>IF(AND('Mapa final'!$H$31="Muy Baja",'Mapa final'!$L$31="Leve"),CONCATENATE("R",'Mapa final'!$A$31),"")</f>
        <v/>
      </c>
      <c r="K40" s="261"/>
      <c r="L40" s="260" t="str">
        <f>IF(AND('Mapa final'!$H$36="Muy Baja",'Mapa final'!$L$36="Leve"),CONCATENATE("R",'Mapa final'!$A$36),"")</f>
        <v/>
      </c>
      <c r="M40" s="261"/>
      <c r="N40" s="260" t="str">
        <f>IF(AND('Mapa final'!$H$44="Muy Baja",'Mapa final'!$L$44="Leve"),CONCATENATE("R",'Mapa final'!$A$44),"")</f>
        <v/>
      </c>
      <c r="O40" s="249"/>
      <c r="P40" s="276" t="str">
        <f>IF(AND('Mapa final'!$H$31="Muy Baja",'Mapa final'!$L$31="Menor"),CONCATENATE("R",'Mapa final'!$A$31),"")</f>
        <v/>
      </c>
      <c r="Q40" s="261"/>
      <c r="R40" s="260" t="str">
        <f>IF(AND('Mapa final'!$H$36="Muy Baja",'Mapa final'!$L$36="Menor"),CONCATENATE("R",'Mapa final'!$A$36),"")</f>
        <v/>
      </c>
      <c r="S40" s="261"/>
      <c r="T40" s="260" t="str">
        <f>IF(AND('Mapa final'!$H$44="Muy Baja",'Mapa final'!$L$44="Menor"),CONCATENATE("R",'Mapa final'!$A$44),"")</f>
        <v/>
      </c>
      <c r="U40" s="249"/>
      <c r="V40" s="262" t="str">
        <f>IF(AND('Mapa final'!$H$31="Muy Baja",'Mapa final'!$L$31="Moderado"),CONCATENATE("R",'Mapa final'!$A$31),"")</f>
        <v/>
      </c>
      <c r="W40" s="261"/>
      <c r="X40" s="248" t="str">
        <f>IF(AND('Mapa final'!$H$36="Muy Baja",'Mapa final'!$L$36="Moderado"),CONCATENATE("R",'Mapa final'!$A$36),"")</f>
        <v/>
      </c>
      <c r="Y40" s="261"/>
      <c r="Z40" s="248" t="str">
        <f>IF(AND('Mapa final'!$H$44="Muy Baja",'Mapa final'!$L$44="Moderado"),CONCATENATE("R",'Mapa final'!$A$44),"")</f>
        <v/>
      </c>
      <c r="AA40" s="249"/>
      <c r="AB40" s="263" t="str">
        <f>IF(AND('Mapa final'!$H$31="Muy Baja",'Mapa final'!$L$31="Mayor"),CONCATENATE("R",'Mapa final'!$A$31),"")</f>
        <v/>
      </c>
      <c r="AC40" s="261"/>
      <c r="AD40" s="264" t="str">
        <f>IF(AND('Mapa final'!$H$36="Muy Baja",'Mapa final'!$L$36="Mayor"),CONCATENATE("R",'Mapa final'!$A$36),"")</f>
        <v/>
      </c>
      <c r="AE40" s="261"/>
      <c r="AF40" s="264" t="str">
        <f>IF(AND('Mapa final'!$H$44="Muy Baja",'Mapa final'!$L$44="Mayor"),CONCATENATE("R",'Mapa final'!$A$44),"")</f>
        <v/>
      </c>
      <c r="AG40" s="249"/>
      <c r="AH40" s="265" t="str">
        <f>IF(AND('Mapa final'!$H$31="Muy Baja",'Mapa final'!$L$31="Catastrófico"),CONCATENATE("R",'Mapa final'!$A$31),"")</f>
        <v/>
      </c>
      <c r="AI40" s="261"/>
      <c r="AJ40" s="266" t="str">
        <f>IF(AND('Mapa final'!$H$36="Muy Baja",'Mapa final'!$L$36="Catastrófico"),CONCATENATE("R",'Mapa final'!$A$36),"")</f>
        <v/>
      </c>
      <c r="AK40" s="261"/>
      <c r="AL40" s="266" t="str">
        <f>IF(AND('Mapa final'!$H$44="Muy Baja",'Mapa final'!$L$44="Catastrófico"),CONCATENATE("R",'Mapa final'!$A$44),"")</f>
        <v/>
      </c>
      <c r="AM40" s="249"/>
      <c r="AN40" s="1"/>
      <c r="AO40" s="1"/>
      <c r="AP40" s="1"/>
      <c r="AQ40" s="1"/>
      <c r="AR40" s="1"/>
      <c r="AS40" s="1"/>
      <c r="AT40" s="1"/>
    </row>
    <row r="41" spans="2:46" ht="15.75" customHeight="1" x14ac:dyDescent="0.25">
      <c r="B41" s="280"/>
      <c r="C41" s="235"/>
      <c r="D41" s="236"/>
      <c r="E41" s="247"/>
      <c r="F41" s="235"/>
      <c r="G41" s="235"/>
      <c r="H41" s="235"/>
      <c r="I41" s="236"/>
      <c r="J41" s="257"/>
      <c r="K41" s="254"/>
      <c r="L41" s="250"/>
      <c r="M41" s="254"/>
      <c r="N41" s="250"/>
      <c r="O41" s="251"/>
      <c r="P41" s="257"/>
      <c r="Q41" s="254"/>
      <c r="R41" s="250"/>
      <c r="S41" s="254"/>
      <c r="T41" s="250"/>
      <c r="U41" s="251"/>
      <c r="V41" s="257"/>
      <c r="W41" s="254"/>
      <c r="X41" s="250"/>
      <c r="Y41" s="254"/>
      <c r="Z41" s="250"/>
      <c r="AA41" s="251"/>
      <c r="AB41" s="257"/>
      <c r="AC41" s="254"/>
      <c r="AD41" s="250"/>
      <c r="AE41" s="254"/>
      <c r="AF41" s="250"/>
      <c r="AG41" s="251"/>
      <c r="AH41" s="257"/>
      <c r="AI41" s="254"/>
      <c r="AJ41" s="250"/>
      <c r="AK41" s="254"/>
      <c r="AL41" s="250"/>
      <c r="AM41" s="251"/>
      <c r="AN41" s="1"/>
      <c r="AO41" s="1"/>
      <c r="AP41" s="1"/>
      <c r="AQ41" s="1"/>
      <c r="AR41" s="1"/>
      <c r="AS41" s="1"/>
      <c r="AT41" s="1"/>
    </row>
    <row r="42" spans="2:46" ht="15.75" customHeight="1" x14ac:dyDescent="0.25">
      <c r="B42" s="280"/>
      <c r="C42" s="235"/>
      <c r="D42" s="236"/>
      <c r="E42" s="247"/>
      <c r="F42" s="235"/>
      <c r="G42" s="235"/>
      <c r="H42" s="235"/>
      <c r="I42" s="236"/>
      <c r="J42" s="276" t="e">
        <f>IF(AND('Mapa final'!#REF!="Muy Baja",'Mapa final'!#REF!="Leve"),CONCATENATE("R",'Mapa final'!#REF!),"")</f>
        <v>#REF!</v>
      </c>
      <c r="K42" s="261"/>
      <c r="L42" s="260" t="e">
        <f>IF(AND('Mapa final'!#REF!="Muy Baja",'Mapa final'!#REF!="Leve"),CONCATENATE("R",'Mapa final'!#REF!),"")</f>
        <v>#REF!</v>
      </c>
      <c r="M42" s="261"/>
      <c r="N42" s="260" t="e">
        <f>IF(AND('Mapa final'!#REF!="Muy Baja",'Mapa final'!#REF!="Leve"),CONCATENATE("R",'Mapa final'!#REF!),"")</f>
        <v>#REF!</v>
      </c>
      <c r="O42" s="249"/>
      <c r="P42" s="276" t="e">
        <f>IF(AND('Mapa final'!#REF!="Muy Baja",'Mapa final'!#REF!="Menor"),CONCATENATE("R",'Mapa final'!#REF!),"")</f>
        <v>#REF!</v>
      </c>
      <c r="Q42" s="261"/>
      <c r="R42" s="260" t="e">
        <f>IF(AND('Mapa final'!#REF!="Muy Baja",'Mapa final'!#REF!="Menor"),CONCATENATE("R",'Mapa final'!#REF!),"")</f>
        <v>#REF!</v>
      </c>
      <c r="S42" s="261"/>
      <c r="T42" s="260" t="e">
        <f>IF(AND('Mapa final'!#REF!="Muy Baja",'Mapa final'!#REF!="Menor"),CONCATENATE("R",'Mapa final'!#REF!),"")</f>
        <v>#REF!</v>
      </c>
      <c r="U42" s="249"/>
      <c r="V42" s="262" t="e">
        <f>IF(AND('Mapa final'!#REF!="Muy Baja",'Mapa final'!#REF!="Moderado"),CONCATENATE("R",'Mapa final'!#REF!),"")</f>
        <v>#REF!</v>
      </c>
      <c r="W42" s="261"/>
      <c r="X42" s="248" t="e">
        <f>IF(AND('Mapa final'!#REF!="Muy Baja",'Mapa final'!#REF!="Moderado"),CONCATENATE("R",'Mapa final'!#REF!),"")</f>
        <v>#REF!</v>
      </c>
      <c r="Y42" s="261"/>
      <c r="Z42" s="248" t="e">
        <f>IF(AND('Mapa final'!#REF!="Muy Baja",'Mapa final'!#REF!="Moderado"),CONCATENATE("R",'Mapa final'!#REF!),"")</f>
        <v>#REF!</v>
      </c>
      <c r="AA42" s="249"/>
      <c r="AB42" s="263" t="e">
        <f>IF(AND('Mapa final'!#REF!="Muy Baja",'Mapa final'!#REF!="Mayor"),CONCATENATE("R",'Mapa final'!#REF!),"")</f>
        <v>#REF!</v>
      </c>
      <c r="AC42" s="261"/>
      <c r="AD42" s="264" t="e">
        <f>IF(AND('Mapa final'!#REF!="Muy Baja",'Mapa final'!#REF!="Mayor"),CONCATENATE("R",'Mapa final'!#REF!),"")</f>
        <v>#REF!</v>
      </c>
      <c r="AE42" s="261"/>
      <c r="AF42" s="264" t="e">
        <f>IF(AND('Mapa final'!#REF!="Muy Baja",'Mapa final'!#REF!="Mayor"),CONCATENATE("R",'Mapa final'!#REF!),"")</f>
        <v>#REF!</v>
      </c>
      <c r="AG42" s="249"/>
      <c r="AH42" s="265" t="e">
        <f>IF(AND('Mapa final'!#REF!="Muy Baja",'Mapa final'!#REF!="Catastrófico"),CONCATENATE("R",'Mapa final'!#REF!),"")</f>
        <v>#REF!</v>
      </c>
      <c r="AI42" s="261"/>
      <c r="AJ42" s="266" t="e">
        <f>IF(AND('Mapa final'!#REF!="Muy Baja",'Mapa final'!#REF!="Catastrófico"),CONCATENATE("R",'Mapa final'!#REF!),"")</f>
        <v>#REF!</v>
      </c>
      <c r="AK42" s="261"/>
      <c r="AL42" s="266" t="e">
        <f>IF(AND('Mapa final'!#REF!="Muy Baja",'Mapa final'!#REF!="Catastrófico"),CONCATENATE("R",'Mapa final'!#REF!),"")</f>
        <v>#REF!</v>
      </c>
      <c r="AM42" s="249"/>
      <c r="AN42" s="1"/>
      <c r="AO42" s="1"/>
      <c r="AP42" s="1"/>
      <c r="AQ42" s="1"/>
      <c r="AR42" s="1"/>
      <c r="AS42" s="1"/>
      <c r="AT42" s="1"/>
    </row>
    <row r="43" spans="2:46" ht="15.75" customHeight="1" x14ac:dyDescent="0.25">
      <c r="B43" s="280"/>
      <c r="C43" s="235"/>
      <c r="D43" s="236"/>
      <c r="E43" s="247"/>
      <c r="F43" s="235"/>
      <c r="G43" s="235"/>
      <c r="H43" s="235"/>
      <c r="I43" s="236"/>
      <c r="J43" s="257"/>
      <c r="K43" s="254"/>
      <c r="L43" s="250"/>
      <c r="M43" s="254"/>
      <c r="N43" s="250"/>
      <c r="O43" s="251"/>
      <c r="P43" s="257"/>
      <c r="Q43" s="254"/>
      <c r="R43" s="250"/>
      <c r="S43" s="254"/>
      <c r="T43" s="250"/>
      <c r="U43" s="251"/>
      <c r="V43" s="257"/>
      <c r="W43" s="254"/>
      <c r="X43" s="250"/>
      <c r="Y43" s="254"/>
      <c r="Z43" s="250"/>
      <c r="AA43" s="251"/>
      <c r="AB43" s="257"/>
      <c r="AC43" s="254"/>
      <c r="AD43" s="250"/>
      <c r="AE43" s="254"/>
      <c r="AF43" s="250"/>
      <c r="AG43" s="251"/>
      <c r="AH43" s="257"/>
      <c r="AI43" s="254"/>
      <c r="AJ43" s="250"/>
      <c r="AK43" s="254"/>
      <c r="AL43" s="250"/>
      <c r="AM43" s="251"/>
      <c r="AN43" s="1"/>
      <c r="AO43" s="1"/>
      <c r="AP43" s="1"/>
      <c r="AQ43" s="1"/>
      <c r="AR43" s="1"/>
      <c r="AS43" s="1"/>
      <c r="AT43" s="1"/>
    </row>
    <row r="44" spans="2:46" ht="15.75" customHeight="1" x14ac:dyDescent="0.25">
      <c r="B44" s="280"/>
      <c r="C44" s="235"/>
      <c r="D44" s="236"/>
      <c r="E44" s="247"/>
      <c r="F44" s="235"/>
      <c r="G44" s="235"/>
      <c r="H44" s="235"/>
      <c r="I44" s="236"/>
      <c r="J44" s="276" t="e">
        <f>IF(AND('Mapa final'!#REF!="Muy Baja",'Mapa final'!#REF!="Leve"),CONCATENATE("R",'Mapa final'!#REF!),"")</f>
        <v>#REF!</v>
      </c>
      <c r="K44" s="261"/>
      <c r="L44" s="260" t="str">
        <f>IF(AND('Mapa final'!$H$49="Muy Baja",'Mapa final'!$L$49="Leve"),CONCATENATE("R",'Mapa final'!$A$49),"")</f>
        <v/>
      </c>
      <c r="M44" s="261"/>
      <c r="N44" s="260" t="str">
        <f>IF(AND('Mapa final'!$H$55="Muy Baja",'Mapa final'!$L$55="Leve"),CONCATENATE("R",'Mapa final'!$A$55),"")</f>
        <v/>
      </c>
      <c r="O44" s="249"/>
      <c r="P44" s="276" t="e">
        <f>IF(AND('Mapa final'!#REF!="Muy Baja",'Mapa final'!#REF!="Menor"),CONCATENATE("R",'Mapa final'!#REF!),"")</f>
        <v>#REF!</v>
      </c>
      <c r="Q44" s="261"/>
      <c r="R44" s="260" t="str">
        <f>IF(AND('Mapa final'!$H$49="Muy Baja",'Mapa final'!$L$49="Menor"),CONCATENATE("R",'Mapa final'!$A$49),"")</f>
        <v/>
      </c>
      <c r="S44" s="261"/>
      <c r="T44" s="260" t="str">
        <f>IF(AND('Mapa final'!$H$55="Muy Baja",'Mapa final'!$L$55="Menor"),CONCATENATE("R",'Mapa final'!$A$55),"")</f>
        <v/>
      </c>
      <c r="U44" s="249"/>
      <c r="V44" s="262" t="e">
        <f>IF(AND('Mapa final'!#REF!="Muy Baja",'Mapa final'!#REF!="Moderado"),CONCATENATE("R",'Mapa final'!#REF!),"")</f>
        <v>#REF!</v>
      </c>
      <c r="W44" s="261"/>
      <c r="X44" s="248" t="str">
        <f>IF(AND('Mapa final'!$H$49="Muy Baja",'Mapa final'!$L$49="Moderado"),CONCATENATE("R",'Mapa final'!$A$49),"")</f>
        <v/>
      </c>
      <c r="Y44" s="261"/>
      <c r="Z44" s="248" t="str">
        <f>IF(AND('Mapa final'!$H$55="Muy Baja",'Mapa final'!$L$55="Moderado"),CONCATENATE("R",'Mapa final'!$A$55),"")</f>
        <v/>
      </c>
      <c r="AA44" s="249"/>
      <c r="AB44" s="263" t="e">
        <f>IF(AND('Mapa final'!#REF!="Muy Baja",'Mapa final'!#REF!="Mayor"),CONCATENATE("R",'Mapa final'!#REF!),"")</f>
        <v>#REF!</v>
      </c>
      <c r="AC44" s="261"/>
      <c r="AD44" s="264" t="str">
        <f>IF(AND('Mapa final'!$H$49="Muy Baja",'Mapa final'!$L$49="Mayor"),CONCATENATE("R",'Mapa final'!$A$49),"")</f>
        <v/>
      </c>
      <c r="AE44" s="261"/>
      <c r="AF44" s="264" t="str">
        <f>IF(AND('Mapa final'!$H$55="Muy Baja",'Mapa final'!$L$55="Mayor"),CONCATENATE("R",'Mapa final'!$A$55),"")</f>
        <v/>
      </c>
      <c r="AG44" s="249"/>
      <c r="AH44" s="265" t="e">
        <f>IF(AND('Mapa final'!#REF!="Muy Baja",'Mapa final'!#REF!="Catastrófico"),CONCATENATE("R",'Mapa final'!#REF!),"")</f>
        <v>#REF!</v>
      </c>
      <c r="AI44" s="261"/>
      <c r="AJ44" s="266" t="str">
        <f>IF(AND('Mapa final'!$H$49="Muy Baja",'Mapa final'!$L$49="Catastrófico"),CONCATENATE("R",'Mapa final'!$A$49),"")</f>
        <v/>
      </c>
      <c r="AK44" s="261"/>
      <c r="AL44" s="266" t="str">
        <f>IF(AND('Mapa final'!$H$55="Muy Baja",'Mapa final'!$L$55="Catastrófico"),CONCATENATE("R",'Mapa final'!$A$55),"")</f>
        <v/>
      </c>
      <c r="AM44" s="249"/>
      <c r="AN44" s="1"/>
      <c r="AO44" s="1"/>
      <c r="AP44" s="1"/>
      <c r="AQ44" s="1"/>
      <c r="AR44" s="1"/>
      <c r="AS44" s="1"/>
      <c r="AT44" s="1"/>
    </row>
    <row r="45" spans="2:46" ht="15.75" customHeight="1" x14ac:dyDescent="0.25">
      <c r="B45" s="250"/>
      <c r="C45" s="282"/>
      <c r="D45" s="251"/>
      <c r="E45" s="270"/>
      <c r="F45" s="271"/>
      <c r="G45" s="271"/>
      <c r="H45" s="271"/>
      <c r="I45" s="274"/>
      <c r="J45" s="270"/>
      <c r="K45" s="272"/>
      <c r="L45" s="273"/>
      <c r="M45" s="272"/>
      <c r="N45" s="273"/>
      <c r="O45" s="274"/>
      <c r="P45" s="270"/>
      <c r="Q45" s="272"/>
      <c r="R45" s="273"/>
      <c r="S45" s="272"/>
      <c r="T45" s="273"/>
      <c r="U45" s="274"/>
      <c r="V45" s="270"/>
      <c r="W45" s="272"/>
      <c r="X45" s="273"/>
      <c r="Y45" s="272"/>
      <c r="Z45" s="273"/>
      <c r="AA45" s="274"/>
      <c r="AB45" s="270"/>
      <c r="AC45" s="272"/>
      <c r="AD45" s="273"/>
      <c r="AE45" s="272"/>
      <c r="AF45" s="273"/>
      <c r="AG45" s="274"/>
      <c r="AH45" s="270"/>
      <c r="AI45" s="272"/>
      <c r="AJ45" s="273"/>
      <c r="AK45" s="272"/>
      <c r="AL45" s="273"/>
      <c r="AM45" s="274"/>
      <c r="AN45" s="1"/>
      <c r="AO45" s="1"/>
      <c r="AP45" s="1"/>
      <c r="AQ45" s="1"/>
      <c r="AR45" s="1"/>
      <c r="AS45" s="1"/>
      <c r="AT45" s="1"/>
    </row>
    <row r="46" spans="2:46" ht="15.75" customHeight="1" x14ac:dyDescent="0.25">
      <c r="B46" s="1"/>
      <c r="C46" s="1"/>
      <c r="D46" s="1"/>
      <c r="E46" s="1"/>
      <c r="F46" s="1"/>
      <c r="G46" s="1"/>
      <c r="H46" s="1"/>
      <c r="I46" s="1"/>
      <c r="J46" s="268" t="s">
        <v>104</v>
      </c>
      <c r="K46" s="269"/>
      <c r="L46" s="269"/>
      <c r="M46" s="269"/>
      <c r="N46" s="269"/>
      <c r="O46" s="255"/>
      <c r="P46" s="268" t="s">
        <v>105</v>
      </c>
      <c r="Q46" s="269"/>
      <c r="R46" s="269"/>
      <c r="S46" s="269"/>
      <c r="T46" s="269"/>
      <c r="U46" s="255"/>
      <c r="V46" s="268" t="s">
        <v>106</v>
      </c>
      <c r="W46" s="269"/>
      <c r="X46" s="269"/>
      <c r="Y46" s="269"/>
      <c r="Z46" s="269"/>
      <c r="AA46" s="255"/>
      <c r="AB46" s="268" t="s">
        <v>107</v>
      </c>
      <c r="AC46" s="269"/>
      <c r="AD46" s="269"/>
      <c r="AE46" s="269"/>
      <c r="AF46" s="269"/>
      <c r="AG46" s="255"/>
      <c r="AH46" s="268" t="s">
        <v>108</v>
      </c>
      <c r="AI46" s="269"/>
      <c r="AJ46" s="269"/>
      <c r="AK46" s="269"/>
      <c r="AL46" s="269"/>
      <c r="AM46" s="255"/>
      <c r="AN46" s="1"/>
      <c r="AO46" s="1"/>
      <c r="AP46" s="1"/>
      <c r="AQ46" s="1"/>
      <c r="AR46" s="1"/>
      <c r="AS46" s="1"/>
      <c r="AT46" s="1"/>
    </row>
    <row r="47" spans="2:46" ht="15.75" customHeight="1" x14ac:dyDescent="0.25">
      <c r="B47" s="1"/>
      <c r="C47" s="1"/>
      <c r="D47" s="1"/>
      <c r="E47" s="1"/>
      <c r="F47" s="1"/>
      <c r="G47" s="1"/>
      <c r="H47" s="1"/>
      <c r="I47" s="1"/>
      <c r="J47" s="247"/>
      <c r="K47" s="235"/>
      <c r="L47" s="235"/>
      <c r="M47" s="235"/>
      <c r="N47" s="235"/>
      <c r="O47" s="236"/>
      <c r="P47" s="247"/>
      <c r="Q47" s="235"/>
      <c r="R47" s="235"/>
      <c r="S47" s="235"/>
      <c r="T47" s="235"/>
      <c r="U47" s="236"/>
      <c r="V47" s="247"/>
      <c r="W47" s="235"/>
      <c r="X47" s="235"/>
      <c r="Y47" s="235"/>
      <c r="Z47" s="235"/>
      <c r="AA47" s="236"/>
      <c r="AB47" s="247"/>
      <c r="AC47" s="235"/>
      <c r="AD47" s="235"/>
      <c r="AE47" s="235"/>
      <c r="AF47" s="235"/>
      <c r="AG47" s="236"/>
      <c r="AH47" s="247"/>
      <c r="AI47" s="235"/>
      <c r="AJ47" s="235"/>
      <c r="AK47" s="235"/>
      <c r="AL47" s="235"/>
      <c r="AM47" s="236"/>
      <c r="AN47" s="1"/>
      <c r="AO47" s="1"/>
      <c r="AP47" s="1"/>
      <c r="AQ47" s="1"/>
      <c r="AR47" s="1"/>
      <c r="AS47" s="1"/>
      <c r="AT47" s="1"/>
    </row>
    <row r="48" spans="2:46" ht="15.75" customHeight="1" x14ac:dyDescent="0.25">
      <c r="B48" s="1"/>
      <c r="C48" s="1"/>
      <c r="D48" s="1"/>
      <c r="E48" s="1"/>
      <c r="F48" s="1"/>
      <c r="G48" s="1"/>
      <c r="H48" s="1"/>
      <c r="I48" s="1"/>
      <c r="J48" s="247"/>
      <c r="K48" s="235"/>
      <c r="L48" s="235"/>
      <c r="M48" s="235"/>
      <c r="N48" s="235"/>
      <c r="O48" s="236"/>
      <c r="P48" s="247"/>
      <c r="Q48" s="235"/>
      <c r="R48" s="235"/>
      <c r="S48" s="235"/>
      <c r="T48" s="235"/>
      <c r="U48" s="236"/>
      <c r="V48" s="247"/>
      <c r="W48" s="235"/>
      <c r="X48" s="235"/>
      <c r="Y48" s="235"/>
      <c r="Z48" s="235"/>
      <c r="AA48" s="236"/>
      <c r="AB48" s="247"/>
      <c r="AC48" s="235"/>
      <c r="AD48" s="235"/>
      <c r="AE48" s="235"/>
      <c r="AF48" s="235"/>
      <c r="AG48" s="236"/>
      <c r="AH48" s="247"/>
      <c r="AI48" s="235"/>
      <c r="AJ48" s="235"/>
      <c r="AK48" s="235"/>
      <c r="AL48" s="235"/>
      <c r="AM48" s="236"/>
      <c r="AN48" s="1"/>
      <c r="AO48" s="1"/>
      <c r="AP48" s="1"/>
      <c r="AQ48" s="1"/>
      <c r="AR48" s="1"/>
      <c r="AS48" s="1"/>
      <c r="AT48" s="1"/>
    </row>
    <row r="49" spans="2:39" ht="15.75" customHeight="1" x14ac:dyDescent="0.25">
      <c r="B49" s="1"/>
      <c r="C49" s="1"/>
      <c r="D49" s="1"/>
      <c r="E49" s="1"/>
      <c r="F49" s="1"/>
      <c r="G49" s="1"/>
      <c r="H49" s="1"/>
      <c r="I49" s="1"/>
      <c r="J49" s="247"/>
      <c r="K49" s="235"/>
      <c r="L49" s="235"/>
      <c r="M49" s="235"/>
      <c r="N49" s="235"/>
      <c r="O49" s="236"/>
      <c r="P49" s="247"/>
      <c r="Q49" s="235"/>
      <c r="R49" s="235"/>
      <c r="S49" s="235"/>
      <c r="T49" s="235"/>
      <c r="U49" s="236"/>
      <c r="V49" s="247"/>
      <c r="W49" s="235"/>
      <c r="X49" s="235"/>
      <c r="Y49" s="235"/>
      <c r="Z49" s="235"/>
      <c r="AA49" s="236"/>
      <c r="AB49" s="247"/>
      <c r="AC49" s="235"/>
      <c r="AD49" s="235"/>
      <c r="AE49" s="235"/>
      <c r="AF49" s="235"/>
      <c r="AG49" s="236"/>
      <c r="AH49" s="247"/>
      <c r="AI49" s="235"/>
      <c r="AJ49" s="235"/>
      <c r="AK49" s="235"/>
      <c r="AL49" s="235"/>
      <c r="AM49" s="236"/>
    </row>
    <row r="50" spans="2:39" ht="15.75" customHeight="1" x14ac:dyDescent="0.25">
      <c r="B50" s="1"/>
      <c r="C50" s="1"/>
      <c r="D50" s="1"/>
      <c r="E50" s="1"/>
      <c r="F50" s="1"/>
      <c r="G50" s="1"/>
      <c r="H50" s="1"/>
      <c r="I50" s="1"/>
      <c r="J50" s="247"/>
      <c r="K50" s="235"/>
      <c r="L50" s="235"/>
      <c r="M50" s="235"/>
      <c r="N50" s="235"/>
      <c r="O50" s="236"/>
      <c r="P50" s="247"/>
      <c r="Q50" s="235"/>
      <c r="R50" s="235"/>
      <c r="S50" s="235"/>
      <c r="T50" s="235"/>
      <c r="U50" s="236"/>
      <c r="V50" s="247"/>
      <c r="W50" s="235"/>
      <c r="X50" s="235"/>
      <c r="Y50" s="235"/>
      <c r="Z50" s="235"/>
      <c r="AA50" s="236"/>
      <c r="AB50" s="247"/>
      <c r="AC50" s="235"/>
      <c r="AD50" s="235"/>
      <c r="AE50" s="235"/>
      <c r="AF50" s="235"/>
      <c r="AG50" s="236"/>
      <c r="AH50" s="247"/>
      <c r="AI50" s="235"/>
      <c r="AJ50" s="235"/>
      <c r="AK50" s="235"/>
      <c r="AL50" s="235"/>
      <c r="AM50" s="236"/>
    </row>
    <row r="51" spans="2:39" ht="15.75" customHeight="1" x14ac:dyDescent="0.25">
      <c r="B51" s="1"/>
      <c r="C51" s="1"/>
      <c r="D51" s="1"/>
      <c r="E51" s="1"/>
      <c r="F51" s="1"/>
      <c r="G51" s="1"/>
      <c r="H51" s="1"/>
      <c r="I51" s="1"/>
      <c r="J51" s="270"/>
      <c r="K51" s="271"/>
      <c r="L51" s="271"/>
      <c r="M51" s="271"/>
      <c r="N51" s="271"/>
      <c r="O51" s="274"/>
      <c r="P51" s="270"/>
      <c r="Q51" s="271"/>
      <c r="R51" s="271"/>
      <c r="S51" s="271"/>
      <c r="T51" s="271"/>
      <c r="U51" s="274"/>
      <c r="V51" s="270"/>
      <c r="W51" s="271"/>
      <c r="X51" s="271"/>
      <c r="Y51" s="271"/>
      <c r="Z51" s="271"/>
      <c r="AA51" s="274"/>
      <c r="AB51" s="270"/>
      <c r="AC51" s="271"/>
      <c r="AD51" s="271"/>
      <c r="AE51" s="271"/>
      <c r="AF51" s="271"/>
      <c r="AG51" s="274"/>
      <c r="AH51" s="270"/>
      <c r="AI51" s="271"/>
      <c r="AJ51" s="271"/>
      <c r="AK51" s="271"/>
      <c r="AL51" s="271"/>
      <c r="AM51" s="274"/>
    </row>
  </sheetData>
  <mergeCells count="317">
    <mergeCell ref="AF8:AG9"/>
    <mergeCell ref="AH8:AI9"/>
    <mergeCell ref="AJ8:AK9"/>
    <mergeCell ref="L10:M11"/>
    <mergeCell ref="N10:O11"/>
    <mergeCell ref="P6:Q7"/>
    <mergeCell ref="R6:S7"/>
    <mergeCell ref="P10:Q11"/>
    <mergeCell ref="R10:S11"/>
    <mergeCell ref="T10:U11"/>
    <mergeCell ref="V10:W11"/>
    <mergeCell ref="X10:Y11"/>
    <mergeCell ref="AJ6:AK7"/>
    <mergeCell ref="N8:O9"/>
    <mergeCell ref="P8:Q9"/>
    <mergeCell ref="R8:S9"/>
    <mergeCell ref="T8:U9"/>
    <mergeCell ref="V8:W9"/>
    <mergeCell ref="X8:Y9"/>
    <mergeCell ref="Z8:AA9"/>
    <mergeCell ref="AB8:AC9"/>
    <mergeCell ref="AD8:AE9"/>
    <mergeCell ref="J8:K9"/>
    <mergeCell ref="L8:M9"/>
    <mergeCell ref="J12:K13"/>
    <mergeCell ref="L12:M13"/>
    <mergeCell ref="N12:O13"/>
    <mergeCell ref="P12:Q13"/>
    <mergeCell ref="R12:S13"/>
    <mergeCell ref="J6:K7"/>
    <mergeCell ref="J10:K11"/>
    <mergeCell ref="AD12:AE13"/>
    <mergeCell ref="AF12:AG13"/>
    <mergeCell ref="AH12:AI13"/>
    <mergeCell ref="AJ12:AK13"/>
    <mergeCell ref="AL12:AM13"/>
    <mergeCell ref="L14:M15"/>
    <mergeCell ref="N14:O15"/>
    <mergeCell ref="P14:Q15"/>
    <mergeCell ref="R14:S15"/>
    <mergeCell ref="T14:U15"/>
    <mergeCell ref="V14:W15"/>
    <mergeCell ref="X14:Y15"/>
    <mergeCell ref="Z14:AA15"/>
    <mergeCell ref="AB14:AC15"/>
    <mergeCell ref="AD14:AE15"/>
    <mergeCell ref="AF14:AG15"/>
    <mergeCell ref="AH14:AI15"/>
    <mergeCell ref="AJ14:AK15"/>
    <mergeCell ref="AL14:AM15"/>
    <mergeCell ref="T12:U13"/>
    <mergeCell ref="V12:W13"/>
    <mergeCell ref="X12:Y13"/>
    <mergeCell ref="Z12:AA13"/>
    <mergeCell ref="AB12:AC13"/>
    <mergeCell ref="AD18:AE19"/>
    <mergeCell ref="AF18:AG19"/>
    <mergeCell ref="AH18:AI19"/>
    <mergeCell ref="N36:O37"/>
    <mergeCell ref="P36:Q37"/>
    <mergeCell ref="R36:S37"/>
    <mergeCell ref="T36:U37"/>
    <mergeCell ref="V36:W37"/>
    <mergeCell ref="X36:Y37"/>
    <mergeCell ref="T18:U19"/>
    <mergeCell ref="V18:W19"/>
    <mergeCell ref="AB36:AC37"/>
    <mergeCell ref="AD36:AE37"/>
    <mergeCell ref="AF36:AG37"/>
    <mergeCell ref="Z36:AA37"/>
    <mergeCell ref="AD24:AE25"/>
    <mergeCell ref="AF24:AG25"/>
    <mergeCell ref="N28:O29"/>
    <mergeCell ref="P28:Q29"/>
    <mergeCell ref="R28:S29"/>
    <mergeCell ref="T28:U29"/>
    <mergeCell ref="V28:W29"/>
    <mergeCell ref="X28:Y29"/>
    <mergeCell ref="Z28:AA29"/>
    <mergeCell ref="T16:U17"/>
    <mergeCell ref="V16:W17"/>
    <mergeCell ref="X16:Y17"/>
    <mergeCell ref="Z16:AA17"/>
    <mergeCell ref="AB16:AC17"/>
    <mergeCell ref="L18:M19"/>
    <mergeCell ref="N18:O19"/>
    <mergeCell ref="P18:Q19"/>
    <mergeCell ref="R18:S19"/>
    <mergeCell ref="X18:Y19"/>
    <mergeCell ref="Z18:AA19"/>
    <mergeCell ref="AB18:AC19"/>
    <mergeCell ref="L16:M17"/>
    <mergeCell ref="N16:O17"/>
    <mergeCell ref="P16:Q17"/>
    <mergeCell ref="R16:S17"/>
    <mergeCell ref="AJ18:AK19"/>
    <mergeCell ref="AL18:AM19"/>
    <mergeCell ref="L20:M21"/>
    <mergeCell ref="N20:O21"/>
    <mergeCell ref="AJ16:AK17"/>
    <mergeCell ref="AJ20:AK21"/>
    <mergeCell ref="AO30:AT37"/>
    <mergeCell ref="AJ36:AK37"/>
    <mergeCell ref="AL36:AM37"/>
    <mergeCell ref="AD16:AE17"/>
    <mergeCell ref="AF16:AG17"/>
    <mergeCell ref="AH16:AI17"/>
    <mergeCell ref="AD20:AE21"/>
    <mergeCell ref="AF20:AG21"/>
    <mergeCell ref="AH20:AI21"/>
    <mergeCell ref="AO14:AT21"/>
    <mergeCell ref="AO22:AT29"/>
    <mergeCell ref="AB34:AC35"/>
    <mergeCell ref="AD34:AE35"/>
    <mergeCell ref="AF34:AG35"/>
    <mergeCell ref="AH34:AI35"/>
    <mergeCell ref="AJ34:AK35"/>
    <mergeCell ref="AL34:AM35"/>
    <mergeCell ref="L36:M37"/>
    <mergeCell ref="AL6:AM7"/>
    <mergeCell ref="AO6:AT13"/>
    <mergeCell ref="AJ10:AK11"/>
    <mergeCell ref="AL10:AM11"/>
    <mergeCell ref="AL16:AM17"/>
    <mergeCell ref="AL20:AM21"/>
    <mergeCell ref="T6:U7"/>
    <mergeCell ref="V6:W7"/>
    <mergeCell ref="T20:U21"/>
    <mergeCell ref="V20:W21"/>
    <mergeCell ref="X20:Y21"/>
    <mergeCell ref="Z20:AA21"/>
    <mergeCell ref="AB20:AC21"/>
    <mergeCell ref="X6:Y7"/>
    <mergeCell ref="Z6:AA7"/>
    <mergeCell ref="AB6:AC7"/>
    <mergeCell ref="AD6:AE7"/>
    <mergeCell ref="AF6:AG7"/>
    <mergeCell ref="AH6:AI7"/>
    <mergeCell ref="Z10:AA11"/>
    <mergeCell ref="AB10:AC11"/>
    <mergeCell ref="AD10:AE11"/>
    <mergeCell ref="AF10:AG11"/>
    <mergeCell ref="AH10:AI11"/>
    <mergeCell ref="E30:I37"/>
    <mergeCell ref="J30:K31"/>
    <mergeCell ref="J32:K33"/>
    <mergeCell ref="J34:K35"/>
    <mergeCell ref="J36:K37"/>
    <mergeCell ref="L38:M39"/>
    <mergeCell ref="N38:O39"/>
    <mergeCell ref="P38:Q39"/>
    <mergeCell ref="R38:S39"/>
    <mergeCell ref="L30:M31"/>
    <mergeCell ref="N30:O31"/>
    <mergeCell ref="P30:Q31"/>
    <mergeCell ref="R30:S31"/>
    <mergeCell ref="L34:M35"/>
    <mergeCell ref="N34:O35"/>
    <mergeCell ref="P34:Q35"/>
    <mergeCell ref="R34:S35"/>
    <mergeCell ref="E38:I45"/>
    <mergeCell ref="J38:K39"/>
    <mergeCell ref="J40:K41"/>
    <mergeCell ref="J42:K43"/>
    <mergeCell ref="J44:K45"/>
    <mergeCell ref="L42:M43"/>
    <mergeCell ref="N42:O43"/>
    <mergeCell ref="AJ40:AK41"/>
    <mergeCell ref="AL40:AM41"/>
    <mergeCell ref="T38:U39"/>
    <mergeCell ref="V38:W39"/>
    <mergeCell ref="X38:Y39"/>
    <mergeCell ref="Z38:AA39"/>
    <mergeCell ref="AB38:AC39"/>
    <mergeCell ref="AD38:AE39"/>
    <mergeCell ref="AF38:AG39"/>
    <mergeCell ref="AH38:AI39"/>
    <mergeCell ref="AJ38:AK39"/>
    <mergeCell ref="AL44:AM45"/>
    <mergeCell ref="B2:I4"/>
    <mergeCell ref="J2:AM4"/>
    <mergeCell ref="B6:D45"/>
    <mergeCell ref="E6:I13"/>
    <mergeCell ref="L6:M7"/>
    <mergeCell ref="N6:O7"/>
    <mergeCell ref="AL8:AM9"/>
    <mergeCell ref="AJ42:AK43"/>
    <mergeCell ref="AL42:AM43"/>
    <mergeCell ref="L44:M45"/>
    <mergeCell ref="N44:O45"/>
    <mergeCell ref="AB44:AC45"/>
    <mergeCell ref="AD44:AE45"/>
    <mergeCell ref="AL22:AM23"/>
    <mergeCell ref="L24:M25"/>
    <mergeCell ref="N24:O25"/>
    <mergeCell ref="AL38:AM39"/>
    <mergeCell ref="L40:M41"/>
    <mergeCell ref="N40:O41"/>
    <mergeCell ref="P40:Q41"/>
    <mergeCell ref="R40:S41"/>
    <mergeCell ref="T40:U41"/>
    <mergeCell ref="V40:W41"/>
    <mergeCell ref="AD42:AE43"/>
    <mergeCell ref="AF42:AG43"/>
    <mergeCell ref="AH42:AI43"/>
    <mergeCell ref="AH36:AI37"/>
    <mergeCell ref="L28:M29"/>
    <mergeCell ref="AB28:AC29"/>
    <mergeCell ref="AD28:AE29"/>
    <mergeCell ref="P42:Q43"/>
    <mergeCell ref="R42:S43"/>
    <mergeCell ref="T42:U43"/>
    <mergeCell ref="V42:W43"/>
    <mergeCell ref="X42:Y43"/>
    <mergeCell ref="Z42:AA43"/>
    <mergeCell ref="AB42:AC43"/>
    <mergeCell ref="X40:Y41"/>
    <mergeCell ref="Z40:AA41"/>
    <mergeCell ref="AB40:AC41"/>
    <mergeCell ref="AD40:AE41"/>
    <mergeCell ref="AF40:AG41"/>
    <mergeCell ref="AH40:AI41"/>
    <mergeCell ref="AH30:AI31"/>
    <mergeCell ref="T34:U35"/>
    <mergeCell ref="V34:W35"/>
    <mergeCell ref="X34:Y35"/>
    <mergeCell ref="J46:O51"/>
    <mergeCell ref="P44:Q45"/>
    <mergeCell ref="R44:S45"/>
    <mergeCell ref="P46:U51"/>
    <mergeCell ref="T44:U45"/>
    <mergeCell ref="V44:W45"/>
    <mergeCell ref="X44:Y45"/>
    <mergeCell ref="Z44:AA45"/>
    <mergeCell ref="V46:AA51"/>
    <mergeCell ref="AJ44:AK45"/>
    <mergeCell ref="AB46:AG51"/>
    <mergeCell ref="AH46:AM51"/>
    <mergeCell ref="AF44:AG45"/>
    <mergeCell ref="AH44:AI45"/>
    <mergeCell ref="T22:U23"/>
    <mergeCell ref="V22:W23"/>
    <mergeCell ref="X22:Y23"/>
    <mergeCell ref="Z22:AA23"/>
    <mergeCell ref="AB22:AC23"/>
    <mergeCell ref="AD22:AE23"/>
    <mergeCell ref="AF22:AG23"/>
    <mergeCell ref="AH22:AI23"/>
    <mergeCell ref="AF28:AG29"/>
    <mergeCell ref="AH28:AI29"/>
    <mergeCell ref="AJ28:AK29"/>
    <mergeCell ref="AL28:AM29"/>
    <mergeCell ref="AH24:AI25"/>
    <mergeCell ref="T24:U25"/>
    <mergeCell ref="V24:W25"/>
    <mergeCell ref="X24:Y25"/>
    <mergeCell ref="Z24:AA25"/>
    <mergeCell ref="AB24:AC25"/>
    <mergeCell ref="AJ22:AK23"/>
    <mergeCell ref="E14:I21"/>
    <mergeCell ref="J14:K15"/>
    <mergeCell ref="J16:K17"/>
    <mergeCell ref="J18:K19"/>
    <mergeCell ref="J20:K21"/>
    <mergeCell ref="P20:Q21"/>
    <mergeCell ref="R20:S21"/>
    <mergeCell ref="L22:M23"/>
    <mergeCell ref="N22:O23"/>
    <mergeCell ref="P22:Q23"/>
    <mergeCell ref="R22:S23"/>
    <mergeCell ref="E22:I29"/>
    <mergeCell ref="J28:K29"/>
    <mergeCell ref="J22:K23"/>
    <mergeCell ref="J24:K25"/>
    <mergeCell ref="J26:K27"/>
    <mergeCell ref="P24:Q25"/>
    <mergeCell ref="R24:S25"/>
    <mergeCell ref="AJ24:AK25"/>
    <mergeCell ref="AL24:AM25"/>
    <mergeCell ref="L26:M27"/>
    <mergeCell ref="N26:O27"/>
    <mergeCell ref="P26:Q27"/>
    <mergeCell ref="R26:S27"/>
    <mergeCell ref="T26:U27"/>
    <mergeCell ref="V26:W27"/>
    <mergeCell ref="X26:Y27"/>
    <mergeCell ref="Z26:AA27"/>
    <mergeCell ref="AB26:AC27"/>
    <mergeCell ref="AD26:AE27"/>
    <mergeCell ref="AF26:AG27"/>
    <mergeCell ref="AH26:AI27"/>
    <mergeCell ref="AL26:AM27"/>
    <mergeCell ref="AJ26:AK27"/>
    <mergeCell ref="Z34:AA35"/>
    <mergeCell ref="X30:Y31"/>
    <mergeCell ref="Z30:AA31"/>
    <mergeCell ref="AB30:AC31"/>
    <mergeCell ref="AD30:AE31"/>
    <mergeCell ref="AF30:AG31"/>
    <mergeCell ref="AJ30:AK31"/>
    <mergeCell ref="AL30:AM31"/>
    <mergeCell ref="L32:M33"/>
    <mergeCell ref="N32:O33"/>
    <mergeCell ref="P32:Q33"/>
    <mergeCell ref="R32:S33"/>
    <mergeCell ref="T32:U33"/>
    <mergeCell ref="V32:W33"/>
    <mergeCell ref="X32:Y33"/>
    <mergeCell ref="Z32:AA33"/>
    <mergeCell ref="AB32:AC33"/>
    <mergeCell ref="AD32:AE33"/>
    <mergeCell ref="AF32:AG33"/>
    <mergeCell ref="AH32:AI33"/>
    <mergeCell ref="AJ32:AK33"/>
    <mergeCell ref="AL32:AM33"/>
    <mergeCell ref="T30:U31"/>
    <mergeCell ref="V30:W31"/>
  </mergeCell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T61"/>
  <sheetViews>
    <sheetView topLeftCell="A21" zoomScale="50" zoomScaleNormal="50" workbookViewId="0">
      <selection activeCell="T46" sqref="T46"/>
    </sheetView>
  </sheetViews>
  <sheetFormatPr baseColWidth="10" defaultColWidth="12.625" defaultRowHeight="15" customHeight="1" x14ac:dyDescent="0.2"/>
  <cols>
    <col min="1" max="1" width="9.375" customWidth="1"/>
    <col min="2" max="18" width="5" customWidth="1"/>
    <col min="19" max="19" width="7.375" customWidth="1"/>
    <col min="20" max="23" width="5" customWidth="1"/>
    <col min="24" max="24" width="7.5" customWidth="1"/>
    <col min="25" max="26" width="5" customWidth="1"/>
    <col min="27" max="27" width="9.375" customWidth="1"/>
    <col min="28" max="28" width="5" customWidth="1"/>
    <col min="29" max="29" width="6.5" customWidth="1"/>
    <col min="30" max="33" width="5" customWidth="1"/>
    <col min="34" max="34" width="7.5" customWidth="1"/>
    <col min="35" max="39" width="5" customWidth="1"/>
    <col min="40" max="40" width="9.375" customWidth="1"/>
    <col min="41" max="46" width="5" customWidth="1"/>
    <col min="47" max="61" width="9.375" customWidth="1"/>
  </cols>
  <sheetData>
    <row r="2" spans="2:46" ht="18" customHeight="1" x14ac:dyDescent="0.25">
      <c r="B2" s="297" t="s">
        <v>109</v>
      </c>
      <c r="C2" s="235"/>
      <c r="D2" s="235"/>
      <c r="E2" s="235"/>
      <c r="F2" s="235"/>
      <c r="G2" s="235"/>
      <c r="H2" s="235"/>
      <c r="I2" s="235"/>
      <c r="J2" s="278" t="s">
        <v>15</v>
      </c>
      <c r="K2" s="279"/>
      <c r="L2" s="279"/>
      <c r="M2" s="279"/>
      <c r="N2" s="279"/>
      <c r="O2" s="279"/>
      <c r="P2" s="279"/>
      <c r="Q2" s="279"/>
      <c r="R2" s="279"/>
      <c r="S2" s="279"/>
      <c r="T2" s="279"/>
      <c r="U2" s="279"/>
      <c r="V2" s="279"/>
      <c r="W2" s="279"/>
      <c r="X2" s="279"/>
      <c r="Y2" s="279"/>
      <c r="Z2" s="279"/>
      <c r="AA2" s="279"/>
      <c r="AB2" s="279"/>
      <c r="AC2" s="279"/>
      <c r="AD2" s="279"/>
      <c r="AE2" s="279"/>
      <c r="AF2" s="279"/>
      <c r="AG2" s="279"/>
      <c r="AH2" s="279"/>
      <c r="AI2" s="279"/>
      <c r="AJ2" s="279"/>
      <c r="AK2" s="279"/>
      <c r="AL2" s="279"/>
      <c r="AM2" s="261"/>
      <c r="AN2" s="1"/>
      <c r="AO2" s="1"/>
      <c r="AP2" s="1"/>
      <c r="AQ2" s="1"/>
      <c r="AR2" s="1"/>
      <c r="AS2" s="1"/>
      <c r="AT2" s="1"/>
    </row>
    <row r="3" spans="2:46" ht="18.75" customHeight="1" x14ac:dyDescent="0.25">
      <c r="B3" s="235"/>
      <c r="C3" s="235"/>
      <c r="D3" s="235"/>
      <c r="E3" s="235"/>
      <c r="F3" s="235"/>
      <c r="G3" s="235"/>
      <c r="H3" s="235"/>
      <c r="I3" s="235"/>
      <c r="J3" s="280"/>
      <c r="K3" s="235"/>
      <c r="L3" s="235"/>
      <c r="M3" s="235"/>
      <c r="N3" s="235"/>
      <c r="O3" s="235"/>
      <c r="P3" s="235"/>
      <c r="Q3" s="235"/>
      <c r="R3" s="235"/>
      <c r="S3" s="235"/>
      <c r="T3" s="235"/>
      <c r="U3" s="235"/>
      <c r="V3" s="235"/>
      <c r="W3" s="235"/>
      <c r="X3" s="235"/>
      <c r="Y3" s="235"/>
      <c r="Z3" s="235"/>
      <c r="AA3" s="235"/>
      <c r="AB3" s="235"/>
      <c r="AC3" s="235"/>
      <c r="AD3" s="235"/>
      <c r="AE3" s="235"/>
      <c r="AF3" s="235"/>
      <c r="AG3" s="235"/>
      <c r="AH3" s="235"/>
      <c r="AI3" s="235"/>
      <c r="AJ3" s="235"/>
      <c r="AK3" s="235"/>
      <c r="AL3" s="235"/>
      <c r="AM3" s="281"/>
      <c r="AN3" s="1"/>
      <c r="AO3" s="1"/>
      <c r="AP3" s="1"/>
      <c r="AQ3" s="1"/>
      <c r="AR3" s="1"/>
      <c r="AS3" s="1"/>
      <c r="AT3" s="1"/>
    </row>
    <row r="4" spans="2:46" ht="15" customHeight="1" x14ac:dyDescent="0.25">
      <c r="B4" s="235"/>
      <c r="C4" s="235"/>
      <c r="D4" s="235"/>
      <c r="E4" s="235"/>
      <c r="F4" s="235"/>
      <c r="G4" s="235"/>
      <c r="H4" s="235"/>
      <c r="I4" s="235"/>
      <c r="J4" s="250"/>
      <c r="K4" s="282"/>
      <c r="L4" s="282"/>
      <c r="M4" s="282"/>
      <c r="N4" s="282"/>
      <c r="O4" s="282"/>
      <c r="P4" s="282"/>
      <c r="Q4" s="282"/>
      <c r="R4" s="282"/>
      <c r="S4" s="282"/>
      <c r="T4" s="282"/>
      <c r="U4" s="282"/>
      <c r="V4" s="282"/>
      <c r="W4" s="282"/>
      <c r="X4" s="282"/>
      <c r="Y4" s="282"/>
      <c r="Z4" s="282"/>
      <c r="AA4" s="282"/>
      <c r="AB4" s="282"/>
      <c r="AC4" s="282"/>
      <c r="AD4" s="282"/>
      <c r="AE4" s="282"/>
      <c r="AF4" s="282"/>
      <c r="AG4" s="282"/>
      <c r="AH4" s="282"/>
      <c r="AI4" s="282"/>
      <c r="AJ4" s="282"/>
      <c r="AK4" s="282"/>
      <c r="AL4" s="282"/>
      <c r="AM4" s="254"/>
      <c r="AN4" s="1"/>
      <c r="AO4" s="1"/>
      <c r="AP4" s="1"/>
      <c r="AQ4" s="1"/>
      <c r="AR4" s="1"/>
      <c r="AS4" s="1"/>
      <c r="AT4" s="1"/>
    </row>
    <row r="5" spans="2:46" x14ac:dyDescent="0.25">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row>
    <row r="6" spans="2:46" ht="15" customHeight="1" x14ac:dyDescent="0.25">
      <c r="B6" s="283" t="s">
        <v>94</v>
      </c>
      <c r="C6" s="279"/>
      <c r="D6" s="249"/>
      <c r="E6" s="298" t="s">
        <v>95</v>
      </c>
      <c r="F6" s="269"/>
      <c r="G6" s="269"/>
      <c r="H6" s="269"/>
      <c r="I6" s="255"/>
      <c r="J6" s="15" t="str">
        <f>IF(AND('Mapa final'!$Y$16="Muy Alta",'Mapa final'!$AA$16="Leve"),CONCATENATE("R1C",'Mapa final'!$O$16),"")</f>
        <v/>
      </c>
      <c r="K6" s="16" t="str">
        <f>IF(AND('Mapa final'!$Y$17="Muy Alta",'Mapa final'!$AA$17="Leve"),CONCATENATE("R1C",'Mapa final'!$O$17),"")</f>
        <v/>
      </c>
      <c r="L6" s="16" t="str">
        <f>IF(AND('Mapa final'!$Y$18="Muy Alta",'Mapa final'!$AA$18="Leve"),CONCATENATE("R1C",'Mapa final'!$O$18),"")</f>
        <v/>
      </c>
      <c r="M6" s="16" t="e">
        <f>IF(AND('Mapa final'!#REF!="Muy Alta",'Mapa final'!#REF!="Leve"),CONCATENATE("R1C",'Mapa final'!#REF!),"")</f>
        <v>#REF!</v>
      </c>
      <c r="N6" s="16" t="e">
        <f>IF(AND('Mapa final'!#REF!="Muy Alta",'Mapa final'!#REF!="Leve"),CONCATENATE("R1C",'Mapa final'!#REF!),"")</f>
        <v>#REF!</v>
      </c>
      <c r="O6" s="17" t="e">
        <f>IF(AND('Mapa final'!#REF!="Muy Alta",'Mapa final'!#REF!="Leve"),CONCATENATE("R1C",'Mapa final'!#REF!),"")</f>
        <v>#REF!</v>
      </c>
      <c r="P6" s="15" t="str">
        <f>IF(AND('Mapa final'!$Y$16="Muy Alta",'Mapa final'!$AA$16="Menor"),CONCATENATE("R1C",'Mapa final'!$O$16),"")</f>
        <v/>
      </c>
      <c r="Q6" s="16" t="str">
        <f>IF(AND('Mapa final'!$Y$17="Muy Alta",'Mapa final'!$AA$17="Menor"),CONCATENATE("R1C",'Mapa final'!$O$17),"")</f>
        <v/>
      </c>
      <c r="R6" s="16" t="str">
        <f>IF(AND('Mapa final'!$Y$18="Muy Alta",'Mapa final'!$AA$18="Menor"),CONCATENATE("R1C",'Mapa final'!$O$18),"")</f>
        <v/>
      </c>
      <c r="S6" s="16" t="e">
        <f>IF(AND('Mapa final'!#REF!="Muy Alta",'Mapa final'!#REF!="Menor"),CONCATENATE("R1C",'Mapa final'!#REF!),"")</f>
        <v>#REF!</v>
      </c>
      <c r="T6" s="16" t="e">
        <f>IF(AND('Mapa final'!#REF!="Muy Alta",'Mapa final'!#REF!="Menor"),CONCATENATE("R1C",'Mapa final'!#REF!),"")</f>
        <v>#REF!</v>
      </c>
      <c r="U6" s="17" t="e">
        <f>IF(AND('Mapa final'!#REF!="Muy Alta",'Mapa final'!#REF!="Menor"),CONCATENATE("R1C",'Mapa final'!#REF!),"")</f>
        <v>#REF!</v>
      </c>
      <c r="V6" s="15" t="str">
        <f>IF(AND('Mapa final'!$Y$16="Muy Alta",'Mapa final'!$AA$16="Moderado"),CONCATENATE("R1C",'Mapa final'!$O$16),"")</f>
        <v/>
      </c>
      <c r="W6" s="16" t="str">
        <f>IF(AND('Mapa final'!$Y$17="Muy Alta",'Mapa final'!$AA$17="Moderado"),CONCATENATE("R1C",'Mapa final'!$O$17),"")</f>
        <v/>
      </c>
      <c r="X6" s="16" t="str">
        <f>IF(AND('Mapa final'!$Y$18="Muy Alta",'Mapa final'!$AA$18="Moderado"),CONCATENATE("R1C",'Mapa final'!$O$18),"")</f>
        <v/>
      </c>
      <c r="Y6" s="16" t="e">
        <f>IF(AND('Mapa final'!#REF!="Muy Alta",'Mapa final'!#REF!="Moderado"),CONCATENATE("R1C",'Mapa final'!#REF!),"")</f>
        <v>#REF!</v>
      </c>
      <c r="Z6" s="16" t="e">
        <f>IF(AND('Mapa final'!#REF!="Muy Alta",'Mapa final'!#REF!="Moderado"),CONCATENATE("R1C",'Mapa final'!#REF!),"")</f>
        <v>#REF!</v>
      </c>
      <c r="AA6" s="17" t="e">
        <f>IF(AND('Mapa final'!#REF!="Muy Alta",'Mapa final'!#REF!="Moderado"),CONCATENATE("R1C",'Mapa final'!#REF!),"")</f>
        <v>#REF!</v>
      </c>
      <c r="AB6" s="15" t="str">
        <f>IF(AND('Mapa final'!$Y$16="Muy Alta",'Mapa final'!$AA$16="Mayor"),CONCATENATE("R1C",'Mapa final'!$O$16),"")</f>
        <v/>
      </c>
      <c r="AC6" s="16" t="str">
        <f>IF(AND('Mapa final'!$Y$17="Muy Alta",'Mapa final'!$AA$17="Mayor"),CONCATENATE("R1C",'Mapa final'!$O$17),"")</f>
        <v/>
      </c>
      <c r="AD6" s="16" t="str">
        <f>IF(AND('Mapa final'!$Y$18="Muy Alta",'Mapa final'!$AA$18="Mayor"),CONCATENATE("R1C",'Mapa final'!$O$18),"")</f>
        <v/>
      </c>
      <c r="AE6" s="16" t="e">
        <f>IF(AND('Mapa final'!#REF!="Muy Alta",'Mapa final'!#REF!="Mayor"),CONCATENATE("R1C",'Mapa final'!#REF!),"")</f>
        <v>#REF!</v>
      </c>
      <c r="AF6" s="16" t="e">
        <f>IF(AND('Mapa final'!#REF!="Muy Alta",'Mapa final'!#REF!="Mayor"),CONCATENATE("R1C",'Mapa final'!#REF!),"")</f>
        <v>#REF!</v>
      </c>
      <c r="AG6" s="17" t="e">
        <f>IF(AND('Mapa final'!#REF!="Muy Alta",'Mapa final'!#REF!="Mayor"),CONCATENATE("R1C",'Mapa final'!#REF!),"")</f>
        <v>#REF!</v>
      </c>
      <c r="AH6" s="18" t="str">
        <f>IF(AND('Mapa final'!$Y$16="Muy Alta",'Mapa final'!$AA$16="Catastrófico"),CONCATENATE("R1C",'Mapa final'!$O$16),"")</f>
        <v/>
      </c>
      <c r="AI6" s="19" t="str">
        <f>IF(AND('Mapa final'!$Y$17="Muy Alta",'Mapa final'!$AA$17="Catastrófico"),CONCATENATE("R1C",'Mapa final'!$O$17),"")</f>
        <v/>
      </c>
      <c r="AJ6" s="19" t="str">
        <f>IF(AND('Mapa final'!$Y$18="Muy Alta",'Mapa final'!$AA$18="Catastrófico"),CONCATENATE("R1C",'Mapa final'!$O$18),"")</f>
        <v/>
      </c>
      <c r="AK6" s="19" t="e">
        <f>IF(AND('Mapa final'!#REF!="Muy Alta",'Mapa final'!#REF!="Catastrófico"),CONCATENATE("R1C",'Mapa final'!#REF!),"")</f>
        <v>#REF!</v>
      </c>
      <c r="AL6" s="19" t="e">
        <f>IF(AND('Mapa final'!#REF!="Muy Alta",'Mapa final'!#REF!="Catastrófico"),CONCATENATE("R1C",'Mapa final'!#REF!),"")</f>
        <v>#REF!</v>
      </c>
      <c r="AM6" s="20" t="e">
        <f>IF(AND('Mapa final'!#REF!="Muy Alta",'Mapa final'!#REF!="Catastrófico"),CONCATENATE("R1C",'Mapa final'!#REF!),"")</f>
        <v>#REF!</v>
      </c>
      <c r="AN6" s="1"/>
      <c r="AO6" s="301" t="s">
        <v>96</v>
      </c>
      <c r="AP6" s="287"/>
      <c r="AQ6" s="287"/>
      <c r="AR6" s="287"/>
      <c r="AS6" s="287"/>
      <c r="AT6" s="288"/>
    </row>
    <row r="7" spans="2:46" ht="15" customHeight="1" x14ac:dyDescent="0.25">
      <c r="B7" s="280"/>
      <c r="C7" s="235"/>
      <c r="D7" s="236"/>
      <c r="E7" s="247"/>
      <c r="F7" s="235"/>
      <c r="G7" s="235"/>
      <c r="H7" s="235"/>
      <c r="I7" s="236"/>
      <c r="J7" s="21" t="str">
        <f>IF(AND('Mapa final'!$Y$21="Muy Alta",'Mapa final'!$AA$21="Leve"),CONCATENATE("R2C",'Mapa final'!$O$21),"")</f>
        <v/>
      </c>
      <c r="K7" s="22" t="e">
        <f>IF(AND('Mapa final'!#REF!="Muy Alta",'Mapa final'!#REF!="Leve"),CONCATENATE("R2C",'Mapa final'!#REF!),"")</f>
        <v>#REF!</v>
      </c>
      <c r="L7" s="22" t="e">
        <f>IF(AND('Mapa final'!#REF!="Muy Alta",'Mapa final'!#REF!="Leve"),CONCATENATE("R2C",'Mapa final'!#REF!),"")</f>
        <v>#REF!</v>
      </c>
      <c r="M7" s="22" t="e">
        <f>IF(AND('Mapa final'!#REF!="Muy Alta",'Mapa final'!#REF!="Leve"),CONCATENATE("R2C",'Mapa final'!#REF!),"")</f>
        <v>#REF!</v>
      </c>
      <c r="N7" s="22" t="str">
        <f>IF(AND('Mapa final'!$Y$22="Muy Alta",'Mapa final'!$AA$22="Leve"),CONCATENATE("R2C",'Mapa final'!$O$22),"")</f>
        <v/>
      </c>
      <c r="O7" s="23" t="str">
        <f>IF(AND('Mapa final'!$Y$23="Muy Alta",'Mapa final'!$AA$23="Leve"),CONCATENATE("R2C",'Mapa final'!$O$23),"")</f>
        <v/>
      </c>
      <c r="P7" s="21" t="str">
        <f>IF(AND('Mapa final'!$Y$21="Muy Alta",'Mapa final'!$AA$21="Menor"),CONCATENATE("R2C",'Mapa final'!$O$21),"")</f>
        <v/>
      </c>
      <c r="Q7" s="22" t="e">
        <f>IF(AND('Mapa final'!#REF!="Muy Alta",'Mapa final'!#REF!="Menor"),CONCATENATE("R2C",'Mapa final'!#REF!),"")</f>
        <v>#REF!</v>
      </c>
      <c r="R7" s="22" t="e">
        <f>IF(AND('Mapa final'!#REF!="Muy Alta",'Mapa final'!#REF!="Menor"),CONCATENATE("R2C",'Mapa final'!#REF!),"")</f>
        <v>#REF!</v>
      </c>
      <c r="S7" s="22" t="e">
        <f>IF(AND('Mapa final'!#REF!="Muy Alta",'Mapa final'!#REF!="Menor"),CONCATENATE("R2C",'Mapa final'!#REF!),"")</f>
        <v>#REF!</v>
      </c>
      <c r="T7" s="22" t="str">
        <f>IF(AND('Mapa final'!$Y$22="Muy Alta",'Mapa final'!$AA$22="Menor"),CONCATENATE("R2C",'Mapa final'!$O$22),"")</f>
        <v/>
      </c>
      <c r="U7" s="23" t="str">
        <f>IF(AND('Mapa final'!$Y$23="Muy Alta",'Mapa final'!$AA$23="Menor"),CONCATENATE("R2C",'Mapa final'!$O$23),"")</f>
        <v/>
      </c>
      <c r="V7" s="21" t="str">
        <f>IF(AND('Mapa final'!$Y$21="Muy Alta",'Mapa final'!$AA$21="Moderado"),CONCATENATE("R2C",'Mapa final'!$O$21),"")</f>
        <v/>
      </c>
      <c r="W7" s="22" t="e">
        <f>IF(AND('Mapa final'!#REF!="Muy Alta",'Mapa final'!#REF!="Moderado"),CONCATENATE("R2C",'Mapa final'!#REF!),"")</f>
        <v>#REF!</v>
      </c>
      <c r="X7" s="22" t="e">
        <f>IF(AND('Mapa final'!#REF!="Muy Alta",'Mapa final'!#REF!="Moderado"),CONCATENATE("R2C",'Mapa final'!#REF!),"")</f>
        <v>#REF!</v>
      </c>
      <c r="Y7" s="22" t="e">
        <f>IF(AND('Mapa final'!#REF!="Muy Alta",'Mapa final'!#REF!="Moderado"),CONCATENATE("R2C",'Mapa final'!#REF!),"")</f>
        <v>#REF!</v>
      </c>
      <c r="Z7" s="22" t="str">
        <f>IF(AND('Mapa final'!$Y$22="Muy Alta",'Mapa final'!$AA$22="Moderado"),CONCATENATE("R2C",'Mapa final'!$O$22),"")</f>
        <v/>
      </c>
      <c r="AA7" s="23" t="str">
        <f>IF(AND('Mapa final'!$Y$23="Muy Alta",'Mapa final'!$AA$23="Moderado"),CONCATENATE("R2C",'Mapa final'!$O$23),"")</f>
        <v/>
      </c>
      <c r="AB7" s="21" t="str">
        <f>IF(AND('Mapa final'!$Y$21="Muy Alta",'Mapa final'!$AA$21="Mayor"),CONCATENATE("R2C",'Mapa final'!$O$21),"")</f>
        <v/>
      </c>
      <c r="AC7" s="22" t="e">
        <f>IF(AND('Mapa final'!#REF!="Muy Alta",'Mapa final'!#REF!="Mayor"),CONCATENATE("R2C",'Mapa final'!#REF!),"")</f>
        <v>#REF!</v>
      </c>
      <c r="AD7" s="22" t="e">
        <f>IF(AND('Mapa final'!#REF!="Muy Alta",'Mapa final'!#REF!="Mayor"),CONCATENATE("R2C",'Mapa final'!#REF!),"")</f>
        <v>#REF!</v>
      </c>
      <c r="AE7" s="22" t="e">
        <f>IF(AND('Mapa final'!#REF!="Muy Alta",'Mapa final'!#REF!="Mayor"),CONCATENATE("R2C",'Mapa final'!#REF!),"")</f>
        <v>#REF!</v>
      </c>
      <c r="AF7" s="22" t="str">
        <f>IF(AND('Mapa final'!$Y$22="Muy Alta",'Mapa final'!$AA$22="Mayor"),CONCATENATE("R2C",'Mapa final'!$O$22),"")</f>
        <v/>
      </c>
      <c r="AG7" s="23" t="str">
        <f>IF(AND('Mapa final'!$Y$23="Muy Alta",'Mapa final'!$AA$23="Mayor"),CONCATENATE("R2C",'Mapa final'!$O$23),"")</f>
        <v/>
      </c>
      <c r="AH7" s="24" t="str">
        <f>IF(AND('Mapa final'!$Y$21="Muy Alta",'Mapa final'!$AA$21="Catastrófico"),CONCATENATE("R2C",'Mapa final'!$O$21),"")</f>
        <v/>
      </c>
      <c r="AI7" s="25" t="e">
        <f>IF(AND('Mapa final'!#REF!="Muy Alta",'Mapa final'!#REF!="Catastrófico"),CONCATENATE("R2C",'Mapa final'!#REF!),"")</f>
        <v>#REF!</v>
      </c>
      <c r="AJ7" s="25" t="e">
        <f>IF(AND('Mapa final'!#REF!="Muy Alta",'Mapa final'!#REF!="Catastrófico"),CONCATENATE("R2C",'Mapa final'!#REF!),"")</f>
        <v>#REF!</v>
      </c>
      <c r="AK7" s="25" t="e">
        <f>IF(AND('Mapa final'!#REF!="Muy Alta",'Mapa final'!#REF!="Catastrófico"),CONCATENATE("R2C",'Mapa final'!#REF!),"")</f>
        <v>#REF!</v>
      </c>
      <c r="AL7" s="25" t="str">
        <f>IF(AND('Mapa final'!$Y$22="Muy Alta",'Mapa final'!$AA$22="Catastrófico"),CONCATENATE("R2C",'Mapa final'!$O$22),"")</f>
        <v/>
      </c>
      <c r="AM7" s="26" t="str">
        <f>IF(AND('Mapa final'!$Y$23="Muy Alta",'Mapa final'!$AA$23="Catastrófico"),CONCATENATE("R2C",'Mapa final'!$O$23),"")</f>
        <v/>
      </c>
      <c r="AN7" s="1"/>
      <c r="AO7" s="289"/>
      <c r="AP7" s="235"/>
      <c r="AQ7" s="235"/>
      <c r="AR7" s="235"/>
      <c r="AS7" s="235"/>
      <c r="AT7" s="290"/>
    </row>
    <row r="8" spans="2:46" ht="15" customHeight="1" x14ac:dyDescent="0.25">
      <c r="B8" s="280"/>
      <c r="C8" s="235"/>
      <c r="D8" s="236"/>
      <c r="E8" s="247"/>
      <c r="F8" s="235"/>
      <c r="G8" s="235"/>
      <c r="H8" s="235"/>
      <c r="I8" s="236"/>
      <c r="J8" s="21" t="str">
        <f>IF(AND('Mapa final'!$Y$26="Muy Alta",'Mapa final'!$AA$26="Leve"),CONCATENATE("R3C",'Mapa final'!$O$26),"")</f>
        <v/>
      </c>
      <c r="K8" s="22" t="str">
        <f>IF(AND('Mapa final'!$Y$27="Muy Alta",'Mapa final'!$AA$27="Leve"),CONCATENATE("R3C",'Mapa final'!$O$27),"")</f>
        <v/>
      </c>
      <c r="L8" s="22" t="str">
        <f>IF(AND('Mapa final'!$Y$28="Muy Alta",'Mapa final'!$AA$28="Leve"),CONCATENATE("R3C",'Mapa final'!$O$28),"")</f>
        <v/>
      </c>
      <c r="M8" s="22" t="e">
        <f>IF(AND('Mapa final'!#REF!="Muy Alta",'Mapa final'!#REF!="Leve"),CONCATENATE("R3C",'Mapa final'!#REF!),"")</f>
        <v>#REF!</v>
      </c>
      <c r="N8" s="22" t="e">
        <f>IF(AND('Mapa final'!#REF!="Muy Alta",'Mapa final'!#REF!="Leve"),CONCATENATE("R3C",'Mapa final'!#REF!),"")</f>
        <v>#REF!</v>
      </c>
      <c r="O8" s="23" t="e">
        <f>IF(AND('Mapa final'!#REF!="Muy Alta",'Mapa final'!#REF!="Leve"),CONCATENATE("R3C",'Mapa final'!#REF!),"")</f>
        <v>#REF!</v>
      </c>
      <c r="P8" s="21" t="str">
        <f>IF(AND('Mapa final'!$Y$26="Muy Alta",'Mapa final'!$AA$26="Menor"),CONCATENATE("R3C",'Mapa final'!$O$26),"")</f>
        <v/>
      </c>
      <c r="Q8" s="22" t="str">
        <f>IF(AND('Mapa final'!$Y$27="Muy Alta",'Mapa final'!$AA$27="Menor"),CONCATENATE("R3C",'Mapa final'!$O$27),"")</f>
        <v/>
      </c>
      <c r="R8" s="22" t="str">
        <f>IF(AND('Mapa final'!$Y$28="Muy Alta",'Mapa final'!$AA$28="Menor"),CONCATENATE("R3C",'Mapa final'!$O$28),"")</f>
        <v/>
      </c>
      <c r="S8" s="22" t="e">
        <f>IF(AND('Mapa final'!#REF!="Muy Alta",'Mapa final'!#REF!="Menor"),CONCATENATE("R3C",'Mapa final'!#REF!),"")</f>
        <v>#REF!</v>
      </c>
      <c r="T8" s="22" t="e">
        <f>IF(AND('Mapa final'!#REF!="Muy Alta",'Mapa final'!#REF!="Menor"),CONCATENATE("R3C",'Mapa final'!#REF!),"")</f>
        <v>#REF!</v>
      </c>
      <c r="U8" s="23" t="e">
        <f>IF(AND('Mapa final'!#REF!="Muy Alta",'Mapa final'!#REF!="Menor"),CONCATENATE("R3C",'Mapa final'!#REF!),"")</f>
        <v>#REF!</v>
      </c>
      <c r="V8" s="21" t="str">
        <f>IF(AND('Mapa final'!$Y$26="Muy Alta",'Mapa final'!$AA$26="Moderado"),CONCATENATE("R3C",'Mapa final'!$O$26),"")</f>
        <v/>
      </c>
      <c r="W8" s="22" t="str">
        <f>IF(AND('Mapa final'!$Y$27="Muy Alta",'Mapa final'!$AA$27="Moderado"),CONCATENATE("R3C",'Mapa final'!$O$27),"")</f>
        <v/>
      </c>
      <c r="X8" s="22" t="str">
        <f>IF(AND('Mapa final'!$Y$28="Muy Alta",'Mapa final'!$AA$28="Moderado"),CONCATENATE("R3C",'Mapa final'!$O$28),"")</f>
        <v/>
      </c>
      <c r="Y8" s="22" t="e">
        <f>IF(AND('Mapa final'!#REF!="Muy Alta",'Mapa final'!#REF!="Moderado"),CONCATENATE("R3C",'Mapa final'!#REF!),"")</f>
        <v>#REF!</v>
      </c>
      <c r="Z8" s="22" t="e">
        <f>IF(AND('Mapa final'!#REF!="Muy Alta",'Mapa final'!#REF!="Moderado"),CONCATENATE("R3C",'Mapa final'!#REF!),"")</f>
        <v>#REF!</v>
      </c>
      <c r="AA8" s="23" t="e">
        <f>IF(AND('Mapa final'!#REF!="Muy Alta",'Mapa final'!#REF!="Moderado"),CONCATENATE("R3C",'Mapa final'!#REF!),"")</f>
        <v>#REF!</v>
      </c>
      <c r="AB8" s="21" t="str">
        <f>IF(AND('Mapa final'!$Y$26="Muy Alta",'Mapa final'!$AA$26="Mayor"),CONCATENATE("R3C",'Mapa final'!$O$26),"")</f>
        <v/>
      </c>
      <c r="AC8" s="22" t="str">
        <f>IF(AND('Mapa final'!$Y$27="Muy Alta",'Mapa final'!$AA$27="Mayor"),CONCATENATE("R3C",'Mapa final'!$O$27),"")</f>
        <v/>
      </c>
      <c r="AD8" s="22" t="str">
        <f>IF(AND('Mapa final'!$Y$28="Muy Alta",'Mapa final'!$AA$28="Mayor"),CONCATENATE("R3C",'Mapa final'!$O$28),"")</f>
        <v/>
      </c>
      <c r="AE8" s="22" t="e">
        <f>IF(AND('Mapa final'!#REF!="Muy Alta",'Mapa final'!#REF!="Mayor"),CONCATENATE("R3C",'Mapa final'!#REF!),"")</f>
        <v>#REF!</v>
      </c>
      <c r="AF8" s="22" t="e">
        <f>IF(AND('Mapa final'!#REF!="Muy Alta",'Mapa final'!#REF!="Mayor"),CONCATENATE("R3C",'Mapa final'!#REF!),"")</f>
        <v>#REF!</v>
      </c>
      <c r="AG8" s="23" t="e">
        <f>IF(AND('Mapa final'!#REF!="Muy Alta",'Mapa final'!#REF!="Mayor"),CONCATENATE("R3C",'Mapa final'!#REF!),"")</f>
        <v>#REF!</v>
      </c>
      <c r="AH8" s="24" t="str">
        <f>IF(AND('Mapa final'!$Y$26="Muy Alta",'Mapa final'!$AA$26="Catastrófico"),CONCATENATE("R3C",'Mapa final'!$O$26),"")</f>
        <v/>
      </c>
      <c r="AI8" s="25" t="str">
        <f>IF(AND('Mapa final'!$Y$27="Muy Alta",'Mapa final'!$AA$27="Catastrófico"),CONCATENATE("R3C",'Mapa final'!$O$27),"")</f>
        <v/>
      </c>
      <c r="AJ8" s="25" t="str">
        <f>IF(AND('Mapa final'!$Y$28="Muy Alta",'Mapa final'!$AA$28="Catastrófico"),CONCATENATE("R3C",'Mapa final'!$O$28),"")</f>
        <v/>
      </c>
      <c r="AK8" s="25" t="e">
        <f>IF(AND('Mapa final'!#REF!="Muy Alta",'Mapa final'!#REF!="Catastrófico"),CONCATENATE("R3C",'Mapa final'!#REF!),"")</f>
        <v>#REF!</v>
      </c>
      <c r="AL8" s="25" t="e">
        <f>IF(AND('Mapa final'!#REF!="Muy Alta",'Mapa final'!#REF!="Catastrófico"),CONCATENATE("R3C",'Mapa final'!#REF!),"")</f>
        <v>#REF!</v>
      </c>
      <c r="AM8" s="26" t="e">
        <f>IF(AND('Mapa final'!#REF!="Muy Alta",'Mapa final'!#REF!="Catastrófico"),CONCATENATE("R3C",'Mapa final'!#REF!),"")</f>
        <v>#REF!</v>
      </c>
      <c r="AN8" s="1"/>
      <c r="AO8" s="289"/>
      <c r="AP8" s="235"/>
      <c r="AQ8" s="235"/>
      <c r="AR8" s="235"/>
      <c r="AS8" s="235"/>
      <c r="AT8" s="290"/>
    </row>
    <row r="9" spans="2:46" ht="15" customHeight="1" x14ac:dyDescent="0.25">
      <c r="B9" s="280"/>
      <c r="C9" s="235"/>
      <c r="D9" s="236"/>
      <c r="E9" s="247"/>
      <c r="F9" s="235"/>
      <c r="G9" s="235"/>
      <c r="H9" s="235"/>
      <c r="I9" s="236"/>
      <c r="J9" s="21" t="str">
        <f>IF(AND('Mapa final'!$Y$31="Muy Alta",'Mapa final'!$AA$31="Leve"),CONCATENATE("R4C",'Mapa final'!$O$31),"")</f>
        <v/>
      </c>
      <c r="K9" s="22" t="str">
        <f>IF(AND('Mapa final'!$Y$32="Muy Alta",'Mapa final'!$AA$32="Leve"),CONCATENATE("R4C",'Mapa final'!$O$32),"")</f>
        <v/>
      </c>
      <c r="L9" s="22" t="e">
        <f>IF(AND('Mapa final'!#REF!="Muy Alta",'Mapa final'!#REF!="Leve"),CONCATENATE("R4C",'Mapa final'!#REF!),"")</f>
        <v>#REF!</v>
      </c>
      <c r="M9" s="22" t="str">
        <f>IF(AND('Mapa final'!$Y$33="Muy Alta",'Mapa final'!$AA$33="Leve"),CONCATENATE("R4C",'Mapa final'!$O$33),"")</f>
        <v/>
      </c>
      <c r="N9" s="22" t="e">
        <f>IF(AND('Mapa final'!#REF!="Muy Alta",'Mapa final'!#REF!="Leve"),CONCATENATE("R4C",'Mapa final'!#REF!),"")</f>
        <v>#REF!</v>
      </c>
      <c r="O9" s="23" t="e">
        <f>IF(AND('Mapa final'!#REF!="Muy Alta",'Mapa final'!#REF!="Leve"),CONCATENATE("R4C",'Mapa final'!#REF!),"")</f>
        <v>#REF!</v>
      </c>
      <c r="P9" s="21" t="str">
        <f>IF(AND('Mapa final'!$Y$31="Muy Alta",'Mapa final'!$AA$31="Menor"),CONCATENATE("R4C",'Mapa final'!$O$31),"")</f>
        <v/>
      </c>
      <c r="Q9" s="22" t="str">
        <f>IF(AND('Mapa final'!$Y$32="Muy Alta",'Mapa final'!$AA$32="Menor"),CONCATENATE("R4C",'Mapa final'!$O$32),"")</f>
        <v/>
      </c>
      <c r="R9" s="22" t="e">
        <f>IF(AND('Mapa final'!#REF!="Muy Alta",'Mapa final'!#REF!="Menor"),CONCATENATE("R4C",'Mapa final'!#REF!),"")</f>
        <v>#REF!</v>
      </c>
      <c r="S9" s="22" t="str">
        <f>IF(AND('Mapa final'!$Y$33="Muy Alta",'Mapa final'!$AA$33="Menor"),CONCATENATE("R4C",'Mapa final'!$O$33),"")</f>
        <v/>
      </c>
      <c r="T9" s="22" t="e">
        <f>IF(AND('Mapa final'!#REF!="Muy Alta",'Mapa final'!#REF!="Menor"),CONCATENATE("R4C",'Mapa final'!#REF!),"")</f>
        <v>#REF!</v>
      </c>
      <c r="U9" s="23" t="e">
        <f>IF(AND('Mapa final'!#REF!="Muy Alta",'Mapa final'!#REF!="Menor"),CONCATENATE("R4C",'Mapa final'!#REF!),"")</f>
        <v>#REF!</v>
      </c>
      <c r="V9" s="21" t="str">
        <f>IF(AND('Mapa final'!$Y$31="Muy Alta",'Mapa final'!$AA$31="Moderado"),CONCATENATE("R4C",'Mapa final'!$O$31),"")</f>
        <v/>
      </c>
      <c r="W9" s="22" t="str">
        <f>IF(AND('Mapa final'!$Y$32="Muy Alta",'Mapa final'!$AA$32="Moderado"),CONCATENATE("R4C",'Mapa final'!$O$32),"")</f>
        <v/>
      </c>
      <c r="X9" s="22" t="e">
        <f>IF(AND('Mapa final'!#REF!="Muy Alta",'Mapa final'!#REF!="Moderado"),CONCATENATE("R4C",'Mapa final'!#REF!),"")</f>
        <v>#REF!</v>
      </c>
      <c r="Y9" s="22" t="str">
        <f>IF(AND('Mapa final'!$Y$33="Muy Alta",'Mapa final'!$AA$33="Moderado"),CONCATENATE("R4C",'Mapa final'!$O$33),"")</f>
        <v/>
      </c>
      <c r="Z9" s="22" t="e">
        <f>IF(AND('Mapa final'!#REF!="Muy Alta",'Mapa final'!#REF!="Moderado"),CONCATENATE("R4C",'Mapa final'!#REF!),"")</f>
        <v>#REF!</v>
      </c>
      <c r="AA9" s="23" t="e">
        <f>IF(AND('Mapa final'!#REF!="Muy Alta",'Mapa final'!#REF!="Moderado"),CONCATENATE("R4C",'Mapa final'!#REF!),"")</f>
        <v>#REF!</v>
      </c>
      <c r="AB9" s="21" t="str">
        <f>IF(AND('Mapa final'!$Y$31="Muy Alta",'Mapa final'!$AA$31="Mayor"),CONCATENATE("R4C",'Mapa final'!$O$31),"")</f>
        <v/>
      </c>
      <c r="AC9" s="22" t="str">
        <f>IF(AND('Mapa final'!$Y$32="Muy Alta",'Mapa final'!$AA$32="Mayor"),CONCATENATE("R4C",'Mapa final'!$O$32),"")</f>
        <v/>
      </c>
      <c r="AD9" s="22" t="e">
        <f>IF(AND('Mapa final'!#REF!="Muy Alta",'Mapa final'!#REF!="Mayor"),CONCATENATE("R4C",'Mapa final'!#REF!),"")</f>
        <v>#REF!</v>
      </c>
      <c r="AE9" s="22" t="str">
        <f>IF(AND('Mapa final'!$Y$33="Muy Alta",'Mapa final'!$AA$33="Mayor"),CONCATENATE("R4C",'Mapa final'!$O$33),"")</f>
        <v/>
      </c>
      <c r="AF9" s="22" t="e">
        <f>IF(AND('Mapa final'!#REF!="Muy Alta",'Mapa final'!#REF!="Mayor"),CONCATENATE("R4C",'Mapa final'!#REF!),"")</f>
        <v>#REF!</v>
      </c>
      <c r="AG9" s="23" t="e">
        <f>IF(AND('Mapa final'!#REF!="Muy Alta",'Mapa final'!#REF!="Mayor"),CONCATENATE("R4C",'Mapa final'!#REF!),"")</f>
        <v>#REF!</v>
      </c>
      <c r="AH9" s="24" t="str">
        <f>IF(AND('Mapa final'!$Y$31="Muy Alta",'Mapa final'!$AA$31="Catastrófico"),CONCATENATE("R4C",'Mapa final'!$O$31),"")</f>
        <v/>
      </c>
      <c r="AI9" s="25" t="str">
        <f>IF(AND('Mapa final'!$Y$32="Muy Alta",'Mapa final'!$AA$32="Catastrófico"),CONCATENATE("R4C",'Mapa final'!$O$32),"")</f>
        <v/>
      </c>
      <c r="AJ9" s="25" t="e">
        <f>IF(AND('Mapa final'!#REF!="Muy Alta",'Mapa final'!#REF!="Catastrófico"),CONCATENATE("R4C",'Mapa final'!#REF!),"")</f>
        <v>#REF!</v>
      </c>
      <c r="AK9" s="25" t="str">
        <f>IF(AND('Mapa final'!$Y$33="Muy Alta",'Mapa final'!$AA$33="Catastrófico"),CONCATENATE("R4C",'Mapa final'!$O$33),"")</f>
        <v/>
      </c>
      <c r="AL9" s="25" t="e">
        <f>IF(AND('Mapa final'!#REF!="Muy Alta",'Mapa final'!#REF!="Catastrófico"),CONCATENATE("R4C",'Mapa final'!#REF!),"")</f>
        <v>#REF!</v>
      </c>
      <c r="AM9" s="26" t="e">
        <f>IF(AND('Mapa final'!#REF!="Muy Alta",'Mapa final'!#REF!="Catastrófico"),CONCATENATE("R4C",'Mapa final'!#REF!),"")</f>
        <v>#REF!</v>
      </c>
      <c r="AN9" s="1"/>
      <c r="AO9" s="289"/>
      <c r="AP9" s="235"/>
      <c r="AQ9" s="235"/>
      <c r="AR9" s="235"/>
      <c r="AS9" s="235"/>
      <c r="AT9" s="290"/>
    </row>
    <row r="10" spans="2:46" ht="15" customHeight="1" x14ac:dyDescent="0.25">
      <c r="B10" s="280"/>
      <c r="C10" s="235"/>
      <c r="D10" s="236"/>
      <c r="E10" s="247"/>
      <c r="F10" s="235"/>
      <c r="G10" s="235"/>
      <c r="H10" s="235"/>
      <c r="I10" s="236"/>
      <c r="J10" s="21" t="str">
        <f>IF(AND('Mapa final'!$Y$36="Muy Alta",'Mapa final'!$AA$36="Leve"),CONCATENATE("R5C",'Mapa final'!$O$36),"")</f>
        <v/>
      </c>
      <c r="K10" s="22" t="str">
        <f>IF(AND('Mapa final'!$Y$37="Muy Alta",'Mapa final'!$AA$37="Leve"),CONCATENATE("R5C",'Mapa final'!$O$37),"")</f>
        <v/>
      </c>
      <c r="L10" s="22" t="str">
        <f>IF(AND('Mapa final'!$Y$38="Muy Alta",'Mapa final'!$AA$38="Leve"),CONCATENATE("R5C",'Mapa final'!$O$38),"")</f>
        <v/>
      </c>
      <c r="M10" s="22" t="e">
        <f>IF(AND('Mapa final'!#REF!="Muy Alta",'Mapa final'!#REF!="Leve"),CONCATENATE("R5C",'Mapa final'!#REF!),"")</f>
        <v>#REF!</v>
      </c>
      <c r="N10" s="22" t="e">
        <f>IF(AND('Mapa final'!#REF!="Muy Alta",'Mapa final'!#REF!="Leve"),CONCATENATE("R5C",'Mapa final'!#REF!),"")</f>
        <v>#REF!</v>
      </c>
      <c r="O10" s="23" t="e">
        <f>IF(AND('Mapa final'!#REF!="Muy Alta",'Mapa final'!#REF!="Leve"),CONCATENATE("R5C",'Mapa final'!#REF!),"")</f>
        <v>#REF!</v>
      </c>
      <c r="P10" s="21" t="str">
        <f>IF(AND('Mapa final'!$Y$36="Muy Alta",'Mapa final'!$AA$36="Menor"),CONCATENATE("R5C",'Mapa final'!$O$36),"")</f>
        <v/>
      </c>
      <c r="Q10" s="22" t="str">
        <f>IF(AND('Mapa final'!$Y$37="Muy Alta",'Mapa final'!$AA$37="Menor"),CONCATENATE("R5C",'Mapa final'!$O$37),"")</f>
        <v/>
      </c>
      <c r="R10" s="22" t="str">
        <f>IF(AND('Mapa final'!$Y$38="Muy Alta",'Mapa final'!$AA$38="Menor"),CONCATENATE("R5C",'Mapa final'!$O$38),"")</f>
        <v/>
      </c>
      <c r="S10" s="22" t="e">
        <f>IF(AND('Mapa final'!#REF!="Muy Alta",'Mapa final'!#REF!="Menor"),CONCATENATE("R5C",'Mapa final'!#REF!),"")</f>
        <v>#REF!</v>
      </c>
      <c r="T10" s="22" t="e">
        <f>IF(AND('Mapa final'!#REF!="Muy Alta",'Mapa final'!#REF!="Menor"),CONCATENATE("R5C",'Mapa final'!#REF!),"")</f>
        <v>#REF!</v>
      </c>
      <c r="U10" s="23" t="e">
        <f>IF(AND('Mapa final'!#REF!="Muy Alta",'Mapa final'!#REF!="Menor"),CONCATENATE("R5C",'Mapa final'!#REF!),"")</f>
        <v>#REF!</v>
      </c>
      <c r="V10" s="21" t="str">
        <f>IF(AND('Mapa final'!$Y$36="Muy Alta",'Mapa final'!$AA$36="Moderado"),CONCATENATE("R5C",'Mapa final'!$O$36),"")</f>
        <v/>
      </c>
      <c r="W10" s="22" t="str">
        <f>IF(AND('Mapa final'!$Y$37="Muy Alta",'Mapa final'!$AA$37="Moderado"),CONCATENATE("R5C",'Mapa final'!$O$37),"")</f>
        <v/>
      </c>
      <c r="X10" s="22" t="str">
        <f>IF(AND('Mapa final'!$Y$38="Muy Alta",'Mapa final'!$AA$38="Moderado"),CONCATENATE("R5C",'Mapa final'!$O$38),"")</f>
        <v/>
      </c>
      <c r="Y10" s="22" t="e">
        <f>IF(AND('Mapa final'!#REF!="Muy Alta",'Mapa final'!#REF!="Moderado"),CONCATENATE("R5C",'Mapa final'!#REF!),"")</f>
        <v>#REF!</v>
      </c>
      <c r="Z10" s="22" t="e">
        <f>IF(AND('Mapa final'!#REF!="Muy Alta",'Mapa final'!#REF!="Moderado"),CONCATENATE("R5C",'Mapa final'!#REF!),"")</f>
        <v>#REF!</v>
      </c>
      <c r="AA10" s="23" t="e">
        <f>IF(AND('Mapa final'!#REF!="Muy Alta",'Mapa final'!#REF!="Moderado"),CONCATENATE("R5C",'Mapa final'!#REF!),"")</f>
        <v>#REF!</v>
      </c>
      <c r="AB10" s="21" t="str">
        <f>IF(AND('Mapa final'!$Y$36="Muy Alta",'Mapa final'!$AA$36="Mayor"),CONCATENATE("R5C",'Mapa final'!$O$36),"")</f>
        <v/>
      </c>
      <c r="AC10" s="22" t="str">
        <f>IF(AND('Mapa final'!$Y$37="Muy Alta",'Mapa final'!$AA$37="Mayor"),CONCATENATE("R5C",'Mapa final'!$O$37),"")</f>
        <v/>
      </c>
      <c r="AD10" s="22" t="str">
        <f>IF(AND('Mapa final'!$Y$38="Muy Alta",'Mapa final'!$AA$38="Mayor"),CONCATENATE("R5C",'Mapa final'!$O$38),"")</f>
        <v/>
      </c>
      <c r="AE10" s="22" t="e">
        <f>IF(AND('Mapa final'!#REF!="Muy Alta",'Mapa final'!#REF!="Mayor"),CONCATENATE("R5C",'Mapa final'!#REF!),"")</f>
        <v>#REF!</v>
      </c>
      <c r="AF10" s="22" t="e">
        <f>IF(AND('Mapa final'!#REF!="Muy Alta",'Mapa final'!#REF!="Mayor"),CONCATENATE("R5C",'Mapa final'!#REF!),"")</f>
        <v>#REF!</v>
      </c>
      <c r="AG10" s="23" t="e">
        <f>IF(AND('Mapa final'!#REF!="Muy Alta",'Mapa final'!#REF!="Mayor"),CONCATENATE("R5C",'Mapa final'!#REF!),"")</f>
        <v>#REF!</v>
      </c>
      <c r="AH10" s="24" t="str">
        <f>IF(AND('Mapa final'!$Y$36="Muy Alta",'Mapa final'!$AA$36="Catastrófico"),CONCATENATE("R5C",'Mapa final'!$O$36),"")</f>
        <v/>
      </c>
      <c r="AI10" s="25" t="str">
        <f>IF(AND('Mapa final'!$Y$37="Muy Alta",'Mapa final'!$AA$37="Catastrófico"),CONCATENATE("R5C",'Mapa final'!$O$37),"")</f>
        <v/>
      </c>
      <c r="AJ10" s="25" t="str">
        <f>IF(AND('Mapa final'!$Y$38="Muy Alta",'Mapa final'!$AA$38="Catastrófico"),CONCATENATE("R5C",'Mapa final'!$O$38),"")</f>
        <v/>
      </c>
      <c r="AK10" s="25" t="e">
        <f>IF(AND('Mapa final'!#REF!="Muy Alta",'Mapa final'!#REF!="Catastrófico"),CONCATENATE("R5C",'Mapa final'!#REF!),"")</f>
        <v>#REF!</v>
      </c>
      <c r="AL10" s="25" t="e">
        <f>IF(AND('Mapa final'!#REF!="Muy Alta",'Mapa final'!#REF!="Catastrófico"),CONCATENATE("R5C",'Mapa final'!#REF!),"")</f>
        <v>#REF!</v>
      </c>
      <c r="AM10" s="26" t="e">
        <f>IF(AND('Mapa final'!#REF!="Muy Alta",'Mapa final'!#REF!="Catastrófico"),CONCATENATE("R5C",'Mapa final'!#REF!),"")</f>
        <v>#REF!</v>
      </c>
      <c r="AN10" s="1"/>
      <c r="AO10" s="289"/>
      <c r="AP10" s="235"/>
      <c r="AQ10" s="235"/>
      <c r="AR10" s="235"/>
      <c r="AS10" s="235"/>
      <c r="AT10" s="290"/>
    </row>
    <row r="11" spans="2:46" ht="15" customHeight="1" x14ac:dyDescent="0.25">
      <c r="B11" s="280"/>
      <c r="C11" s="235"/>
      <c r="D11" s="236"/>
      <c r="E11" s="247"/>
      <c r="F11" s="235"/>
      <c r="G11" s="235"/>
      <c r="H11" s="235"/>
      <c r="I11" s="236"/>
      <c r="J11" s="21" t="str">
        <f>IF(AND('Mapa final'!$Y$44="Muy Alta",'Mapa final'!$AA$44="Leve"),CONCATENATE("R6C",'Mapa final'!$O$44),"")</f>
        <v/>
      </c>
      <c r="K11" s="22" t="str">
        <f>IF(AND('Mapa final'!$Y$45="Muy Alta",'Mapa final'!$AA$45="Leve"),CONCATENATE("R6C",'Mapa final'!$O$45),"")</f>
        <v/>
      </c>
      <c r="L11" s="22" t="str">
        <f>IF(AND('Mapa final'!$Y$46="Muy Alta",'Mapa final'!$AA$46="Leve"),CONCATENATE("R6C",'Mapa final'!$O$46),"")</f>
        <v/>
      </c>
      <c r="M11" s="22" t="e">
        <f>IF(AND('Mapa final'!#REF!="Muy Alta",'Mapa final'!#REF!="Leve"),CONCATENATE("R6C",'Mapa final'!#REF!),"")</f>
        <v>#REF!</v>
      </c>
      <c r="N11" s="22" t="e">
        <f>IF(AND('Mapa final'!#REF!="Muy Alta",'Mapa final'!#REF!="Leve"),CONCATENATE("R6C",'Mapa final'!#REF!),"")</f>
        <v>#REF!</v>
      </c>
      <c r="O11" s="23" t="e">
        <f>IF(AND('Mapa final'!#REF!="Muy Alta",'Mapa final'!#REF!="Leve"),CONCATENATE("R6C",'Mapa final'!#REF!),"")</f>
        <v>#REF!</v>
      </c>
      <c r="P11" s="21" t="str">
        <f>IF(AND('Mapa final'!$Y$44="Muy Alta",'Mapa final'!$AA$44="Menor"),CONCATENATE("R6C",'Mapa final'!$O$44),"")</f>
        <v/>
      </c>
      <c r="Q11" s="22" t="str">
        <f>IF(AND('Mapa final'!$Y$45="Muy Alta",'Mapa final'!$AA$45="Menor"),CONCATENATE("R6C",'Mapa final'!$O$45),"")</f>
        <v/>
      </c>
      <c r="R11" s="22" t="str">
        <f>IF(AND('Mapa final'!$Y$46="Muy Alta",'Mapa final'!$AA$46="Menor"),CONCATENATE("R6C",'Mapa final'!$O$46),"")</f>
        <v/>
      </c>
      <c r="S11" s="22" t="e">
        <f>IF(AND('Mapa final'!#REF!="Muy Alta",'Mapa final'!#REF!="Menor"),CONCATENATE("R6C",'Mapa final'!#REF!),"")</f>
        <v>#REF!</v>
      </c>
      <c r="T11" s="22" t="e">
        <f>IF(AND('Mapa final'!#REF!="Muy Alta",'Mapa final'!#REF!="Menor"),CONCATENATE("R6C",'Mapa final'!#REF!),"")</f>
        <v>#REF!</v>
      </c>
      <c r="U11" s="23" t="e">
        <f>IF(AND('Mapa final'!#REF!="Muy Alta",'Mapa final'!#REF!="Menor"),CONCATENATE("R6C",'Mapa final'!#REF!),"")</f>
        <v>#REF!</v>
      </c>
      <c r="V11" s="21" t="str">
        <f>IF(AND('Mapa final'!$Y$44="Muy Alta",'Mapa final'!$AA$44="Moderado"),CONCATENATE("R6C",'Mapa final'!$O$44),"")</f>
        <v/>
      </c>
      <c r="W11" s="22" t="str">
        <f>IF(AND('Mapa final'!$Y$45="Muy Alta",'Mapa final'!$AA$45="Moderado"),CONCATENATE("R6C",'Mapa final'!$O$45),"")</f>
        <v/>
      </c>
      <c r="X11" s="22" t="str">
        <f>IF(AND('Mapa final'!$Y$46="Muy Alta",'Mapa final'!$AA$46="Moderado"),CONCATENATE("R6C",'Mapa final'!$O$46),"")</f>
        <v/>
      </c>
      <c r="Y11" s="22" t="e">
        <f>IF(AND('Mapa final'!#REF!="Muy Alta",'Mapa final'!#REF!="Moderado"),CONCATENATE("R6C",'Mapa final'!#REF!),"")</f>
        <v>#REF!</v>
      </c>
      <c r="Z11" s="22" t="e">
        <f>IF(AND('Mapa final'!#REF!="Muy Alta",'Mapa final'!#REF!="Moderado"),CONCATENATE("R6C",'Mapa final'!#REF!),"")</f>
        <v>#REF!</v>
      </c>
      <c r="AA11" s="23" t="e">
        <f>IF(AND('Mapa final'!#REF!="Muy Alta",'Mapa final'!#REF!="Moderado"),CONCATENATE("R6C",'Mapa final'!#REF!),"")</f>
        <v>#REF!</v>
      </c>
      <c r="AB11" s="21" t="str">
        <f>IF(AND('Mapa final'!$Y$44="Muy Alta",'Mapa final'!$AA$44="Mayor"),CONCATENATE("R6C",'Mapa final'!$O$44),"")</f>
        <v/>
      </c>
      <c r="AC11" s="22" t="str">
        <f>IF(AND('Mapa final'!$Y$45="Muy Alta",'Mapa final'!$AA$45="Mayor"),CONCATENATE("R6C",'Mapa final'!$O$45),"")</f>
        <v/>
      </c>
      <c r="AD11" s="22" t="str">
        <f>IF(AND('Mapa final'!$Y$46="Muy Alta",'Mapa final'!$AA$46="Mayor"),CONCATENATE("R6C",'Mapa final'!$O$46),"")</f>
        <v/>
      </c>
      <c r="AE11" s="22" t="e">
        <f>IF(AND('Mapa final'!#REF!="Muy Alta",'Mapa final'!#REF!="Mayor"),CONCATENATE("R6C",'Mapa final'!#REF!),"")</f>
        <v>#REF!</v>
      </c>
      <c r="AF11" s="22" t="e">
        <f>IF(AND('Mapa final'!#REF!="Muy Alta",'Mapa final'!#REF!="Mayor"),CONCATENATE("R6C",'Mapa final'!#REF!),"")</f>
        <v>#REF!</v>
      </c>
      <c r="AG11" s="23" t="e">
        <f>IF(AND('Mapa final'!#REF!="Muy Alta",'Mapa final'!#REF!="Mayor"),CONCATENATE("R6C",'Mapa final'!#REF!),"")</f>
        <v>#REF!</v>
      </c>
      <c r="AH11" s="24" t="str">
        <f>IF(AND('Mapa final'!$Y$44="Muy Alta",'Mapa final'!$AA$44="Catastrófico"),CONCATENATE("R6C",'Mapa final'!$O$44),"")</f>
        <v/>
      </c>
      <c r="AI11" s="25" t="str">
        <f>IF(AND('Mapa final'!$Y$45="Muy Alta",'Mapa final'!$AA$45="Catastrófico"),CONCATENATE("R6C",'Mapa final'!$O$45),"")</f>
        <v/>
      </c>
      <c r="AJ11" s="25" t="str">
        <f>IF(AND('Mapa final'!$Y$46="Muy Alta",'Mapa final'!$AA$46="Catastrófico"),CONCATENATE("R6C",'Mapa final'!$O$46),"")</f>
        <v/>
      </c>
      <c r="AK11" s="25" t="e">
        <f>IF(AND('Mapa final'!#REF!="Muy Alta",'Mapa final'!#REF!="Catastrófico"),CONCATENATE("R6C",'Mapa final'!#REF!),"")</f>
        <v>#REF!</v>
      </c>
      <c r="AL11" s="25" t="e">
        <f>IF(AND('Mapa final'!#REF!="Muy Alta",'Mapa final'!#REF!="Catastrófico"),CONCATENATE("R6C",'Mapa final'!#REF!),"")</f>
        <v>#REF!</v>
      </c>
      <c r="AM11" s="26" t="e">
        <f>IF(AND('Mapa final'!#REF!="Muy Alta",'Mapa final'!#REF!="Catastrófico"),CONCATENATE("R6C",'Mapa final'!#REF!),"")</f>
        <v>#REF!</v>
      </c>
      <c r="AN11" s="1"/>
      <c r="AO11" s="289"/>
      <c r="AP11" s="235"/>
      <c r="AQ11" s="235"/>
      <c r="AR11" s="235"/>
      <c r="AS11" s="235"/>
      <c r="AT11" s="290"/>
    </row>
    <row r="12" spans="2:46" ht="15" customHeight="1" x14ac:dyDescent="0.25">
      <c r="B12" s="280"/>
      <c r="C12" s="235"/>
      <c r="D12" s="236"/>
      <c r="E12" s="247"/>
      <c r="F12" s="235"/>
      <c r="G12" s="235"/>
      <c r="H12" s="235"/>
      <c r="I12" s="236"/>
      <c r="J12" s="21" t="e">
        <f>IF(AND('Mapa final'!#REF!="Muy Alta",'Mapa final'!#REF!="Leve"),CONCATENATE("R7C",'Mapa final'!#REF!),"")</f>
        <v>#REF!</v>
      </c>
      <c r="K12" s="22" t="e">
        <f>IF(AND('Mapa final'!#REF!="Muy Alta",'Mapa final'!#REF!="Leve"),CONCATENATE("R7C",'Mapa final'!#REF!),"")</f>
        <v>#REF!</v>
      </c>
      <c r="L12" s="22" t="e">
        <f>IF(AND('Mapa final'!#REF!="Muy Alta",'Mapa final'!#REF!="Leve"),CONCATENATE("R7C",'Mapa final'!#REF!),"")</f>
        <v>#REF!</v>
      </c>
      <c r="M12" s="22" t="e">
        <f>IF(AND('Mapa final'!#REF!="Muy Alta",'Mapa final'!#REF!="Leve"),CONCATENATE("R7C",'Mapa final'!#REF!),"")</f>
        <v>#REF!</v>
      </c>
      <c r="N12" s="22" t="e">
        <f>IF(AND('Mapa final'!#REF!="Muy Alta",'Mapa final'!#REF!="Leve"),CONCATENATE("R7C",'Mapa final'!#REF!),"")</f>
        <v>#REF!</v>
      </c>
      <c r="O12" s="23" t="e">
        <f>IF(AND('Mapa final'!#REF!="Muy Alta",'Mapa final'!#REF!="Leve"),CONCATENATE("R7C",'Mapa final'!#REF!),"")</f>
        <v>#REF!</v>
      </c>
      <c r="P12" s="21" t="e">
        <f>IF(AND('Mapa final'!#REF!="Muy Alta",'Mapa final'!#REF!="Menor"),CONCATENATE("R7C",'Mapa final'!#REF!),"")</f>
        <v>#REF!</v>
      </c>
      <c r="Q12" s="22" t="e">
        <f>IF(AND('Mapa final'!#REF!="Muy Alta",'Mapa final'!#REF!="Menor"),CONCATENATE("R7C",'Mapa final'!#REF!),"")</f>
        <v>#REF!</v>
      </c>
      <c r="R12" s="22" t="e">
        <f>IF(AND('Mapa final'!#REF!="Muy Alta",'Mapa final'!#REF!="Menor"),CONCATENATE("R7C",'Mapa final'!#REF!),"")</f>
        <v>#REF!</v>
      </c>
      <c r="S12" s="22" t="e">
        <f>IF(AND('Mapa final'!#REF!="Muy Alta",'Mapa final'!#REF!="Menor"),CONCATENATE("R7C",'Mapa final'!#REF!),"")</f>
        <v>#REF!</v>
      </c>
      <c r="T12" s="22" t="e">
        <f>IF(AND('Mapa final'!#REF!="Muy Alta",'Mapa final'!#REF!="Menor"),CONCATENATE("R7C",'Mapa final'!#REF!),"")</f>
        <v>#REF!</v>
      </c>
      <c r="U12" s="23" t="e">
        <f>IF(AND('Mapa final'!#REF!="Muy Alta",'Mapa final'!#REF!="Menor"),CONCATENATE("R7C",'Mapa final'!#REF!),"")</f>
        <v>#REF!</v>
      </c>
      <c r="V12" s="21" t="e">
        <f>IF(AND('Mapa final'!#REF!="Muy Alta",'Mapa final'!#REF!="Moderado"),CONCATENATE("R7C",'Mapa final'!#REF!),"")</f>
        <v>#REF!</v>
      </c>
      <c r="W12" s="22" t="e">
        <f>IF(AND('Mapa final'!#REF!="Muy Alta",'Mapa final'!#REF!="Moderado"),CONCATENATE("R7C",'Mapa final'!#REF!),"")</f>
        <v>#REF!</v>
      </c>
      <c r="X12" s="22" t="e">
        <f>IF(AND('Mapa final'!#REF!="Muy Alta",'Mapa final'!#REF!="Moderado"),CONCATENATE("R7C",'Mapa final'!#REF!),"")</f>
        <v>#REF!</v>
      </c>
      <c r="Y12" s="22" t="e">
        <f>IF(AND('Mapa final'!#REF!="Muy Alta",'Mapa final'!#REF!="Moderado"),CONCATENATE("R7C",'Mapa final'!#REF!),"")</f>
        <v>#REF!</v>
      </c>
      <c r="Z12" s="22" t="e">
        <f>IF(AND('Mapa final'!#REF!="Muy Alta",'Mapa final'!#REF!="Moderado"),CONCATENATE("R7C",'Mapa final'!#REF!),"")</f>
        <v>#REF!</v>
      </c>
      <c r="AA12" s="23" t="e">
        <f>IF(AND('Mapa final'!#REF!="Muy Alta",'Mapa final'!#REF!="Moderado"),CONCATENATE("R7C",'Mapa final'!#REF!),"")</f>
        <v>#REF!</v>
      </c>
      <c r="AB12" s="21" t="e">
        <f>IF(AND('Mapa final'!#REF!="Muy Alta",'Mapa final'!#REF!="Mayor"),CONCATENATE("R7C",'Mapa final'!#REF!),"")</f>
        <v>#REF!</v>
      </c>
      <c r="AC12" s="22" t="e">
        <f>IF(AND('Mapa final'!#REF!="Muy Alta",'Mapa final'!#REF!="Mayor"),CONCATENATE("R7C",'Mapa final'!#REF!),"")</f>
        <v>#REF!</v>
      </c>
      <c r="AD12" s="22" t="e">
        <f>IF(AND('Mapa final'!#REF!="Muy Alta",'Mapa final'!#REF!="Mayor"),CONCATENATE("R7C",'Mapa final'!#REF!),"")</f>
        <v>#REF!</v>
      </c>
      <c r="AE12" s="22" t="e">
        <f>IF(AND('Mapa final'!#REF!="Muy Alta",'Mapa final'!#REF!="Mayor"),CONCATENATE("R7C",'Mapa final'!#REF!),"")</f>
        <v>#REF!</v>
      </c>
      <c r="AF12" s="22" t="e">
        <f>IF(AND('Mapa final'!#REF!="Muy Alta",'Mapa final'!#REF!="Mayor"),CONCATENATE("R7C",'Mapa final'!#REF!),"")</f>
        <v>#REF!</v>
      </c>
      <c r="AG12" s="23" t="e">
        <f>IF(AND('Mapa final'!#REF!="Muy Alta",'Mapa final'!#REF!="Mayor"),CONCATENATE("R7C",'Mapa final'!#REF!),"")</f>
        <v>#REF!</v>
      </c>
      <c r="AH12" s="24" t="e">
        <f>IF(AND('Mapa final'!#REF!="Muy Alta",'Mapa final'!#REF!="Catastrófico"),CONCATENATE("R7C",'Mapa final'!#REF!),"")</f>
        <v>#REF!</v>
      </c>
      <c r="AI12" s="25" t="e">
        <f>IF(AND('Mapa final'!#REF!="Muy Alta",'Mapa final'!#REF!="Catastrófico"),CONCATENATE("R7C",'Mapa final'!#REF!),"")</f>
        <v>#REF!</v>
      </c>
      <c r="AJ12" s="25" t="e">
        <f>IF(AND('Mapa final'!#REF!="Muy Alta",'Mapa final'!#REF!="Catastrófico"),CONCATENATE("R7C",'Mapa final'!#REF!),"")</f>
        <v>#REF!</v>
      </c>
      <c r="AK12" s="25" t="e">
        <f>IF(AND('Mapa final'!#REF!="Muy Alta",'Mapa final'!#REF!="Catastrófico"),CONCATENATE("R7C",'Mapa final'!#REF!),"")</f>
        <v>#REF!</v>
      </c>
      <c r="AL12" s="25" t="e">
        <f>IF(AND('Mapa final'!#REF!="Muy Alta",'Mapa final'!#REF!="Catastrófico"),CONCATENATE("R7C",'Mapa final'!#REF!),"")</f>
        <v>#REF!</v>
      </c>
      <c r="AM12" s="26" t="e">
        <f>IF(AND('Mapa final'!#REF!="Muy Alta",'Mapa final'!#REF!="Catastrófico"),CONCATENATE("R7C",'Mapa final'!#REF!),"")</f>
        <v>#REF!</v>
      </c>
      <c r="AN12" s="1"/>
      <c r="AO12" s="289"/>
      <c r="AP12" s="235"/>
      <c r="AQ12" s="235"/>
      <c r="AR12" s="235"/>
      <c r="AS12" s="235"/>
      <c r="AT12" s="290"/>
    </row>
    <row r="13" spans="2:46" ht="15" customHeight="1" x14ac:dyDescent="0.25">
      <c r="B13" s="280"/>
      <c r="C13" s="235"/>
      <c r="D13" s="236"/>
      <c r="E13" s="247"/>
      <c r="F13" s="235"/>
      <c r="G13" s="235"/>
      <c r="H13" s="235"/>
      <c r="I13" s="236"/>
      <c r="J13" s="21" t="e">
        <f>IF(AND('Mapa final'!#REF!="Muy Alta",'Mapa final'!#REF!="Leve"),CONCATENATE("R8C",'Mapa final'!#REF!),"")</f>
        <v>#REF!</v>
      </c>
      <c r="K13" s="22" t="e">
        <f>IF(AND('Mapa final'!#REF!="Muy Alta",'Mapa final'!#REF!="Leve"),CONCATENATE("R8C",'Mapa final'!#REF!),"")</f>
        <v>#REF!</v>
      </c>
      <c r="L13" s="22" t="e">
        <f>IF(AND('Mapa final'!#REF!="Muy Alta",'Mapa final'!#REF!="Leve"),CONCATENATE("R8C",'Mapa final'!#REF!),"")</f>
        <v>#REF!</v>
      </c>
      <c r="M13" s="22" t="e">
        <f>IF(AND('Mapa final'!#REF!="Muy Alta",'Mapa final'!#REF!="Leve"),CONCATENATE("R8C",'Mapa final'!#REF!),"")</f>
        <v>#REF!</v>
      </c>
      <c r="N13" s="22" t="e">
        <f>IF(AND('Mapa final'!#REF!="Muy Alta",'Mapa final'!#REF!="Leve"),CONCATENATE("R8C",'Mapa final'!#REF!),"")</f>
        <v>#REF!</v>
      </c>
      <c r="O13" s="23" t="e">
        <f>IF(AND('Mapa final'!#REF!="Muy Alta",'Mapa final'!#REF!="Leve"),CONCATENATE("R8C",'Mapa final'!#REF!),"")</f>
        <v>#REF!</v>
      </c>
      <c r="P13" s="21" t="e">
        <f>IF(AND('Mapa final'!#REF!="Muy Alta",'Mapa final'!#REF!="Menor"),CONCATENATE("R8C",'Mapa final'!#REF!),"")</f>
        <v>#REF!</v>
      </c>
      <c r="Q13" s="22" t="e">
        <f>IF(AND('Mapa final'!#REF!="Muy Alta",'Mapa final'!#REF!="Menor"),CONCATENATE("R8C",'Mapa final'!#REF!),"")</f>
        <v>#REF!</v>
      </c>
      <c r="R13" s="22" t="e">
        <f>IF(AND('Mapa final'!#REF!="Muy Alta",'Mapa final'!#REF!="Menor"),CONCATENATE("R8C",'Mapa final'!#REF!),"")</f>
        <v>#REF!</v>
      </c>
      <c r="S13" s="22" t="e">
        <f>IF(AND('Mapa final'!#REF!="Muy Alta",'Mapa final'!#REF!="Menor"),CONCATENATE("R8C",'Mapa final'!#REF!),"")</f>
        <v>#REF!</v>
      </c>
      <c r="T13" s="22" t="e">
        <f>IF(AND('Mapa final'!#REF!="Muy Alta",'Mapa final'!#REF!="Menor"),CONCATENATE("R8C",'Mapa final'!#REF!),"")</f>
        <v>#REF!</v>
      </c>
      <c r="U13" s="23" t="e">
        <f>IF(AND('Mapa final'!#REF!="Muy Alta",'Mapa final'!#REF!="Menor"),CONCATENATE("R8C",'Mapa final'!#REF!),"")</f>
        <v>#REF!</v>
      </c>
      <c r="V13" s="21" t="e">
        <f>IF(AND('Mapa final'!#REF!="Muy Alta",'Mapa final'!#REF!="Moderado"),CONCATENATE("R8C",'Mapa final'!#REF!),"")</f>
        <v>#REF!</v>
      </c>
      <c r="W13" s="22" t="e">
        <f>IF(AND('Mapa final'!#REF!="Muy Alta",'Mapa final'!#REF!="Moderado"),CONCATENATE("R8C",'Mapa final'!#REF!),"")</f>
        <v>#REF!</v>
      </c>
      <c r="X13" s="22" t="e">
        <f>IF(AND('Mapa final'!#REF!="Muy Alta",'Mapa final'!#REF!="Moderado"),CONCATENATE("R8C",'Mapa final'!#REF!),"")</f>
        <v>#REF!</v>
      </c>
      <c r="Y13" s="22" t="e">
        <f>IF(AND('Mapa final'!#REF!="Muy Alta",'Mapa final'!#REF!="Moderado"),CONCATENATE("R8C",'Mapa final'!#REF!),"")</f>
        <v>#REF!</v>
      </c>
      <c r="Z13" s="22" t="e">
        <f>IF(AND('Mapa final'!#REF!="Muy Alta",'Mapa final'!#REF!="Moderado"),CONCATENATE("R8C",'Mapa final'!#REF!),"")</f>
        <v>#REF!</v>
      </c>
      <c r="AA13" s="23" t="e">
        <f>IF(AND('Mapa final'!#REF!="Muy Alta",'Mapa final'!#REF!="Moderado"),CONCATENATE("R8C",'Mapa final'!#REF!),"")</f>
        <v>#REF!</v>
      </c>
      <c r="AB13" s="21" t="e">
        <f>IF(AND('Mapa final'!#REF!="Muy Alta",'Mapa final'!#REF!="Mayor"),CONCATENATE("R8C",'Mapa final'!#REF!),"")</f>
        <v>#REF!</v>
      </c>
      <c r="AC13" s="22" t="e">
        <f>IF(AND('Mapa final'!#REF!="Muy Alta",'Mapa final'!#REF!="Mayor"),CONCATENATE("R8C",'Mapa final'!#REF!),"")</f>
        <v>#REF!</v>
      </c>
      <c r="AD13" s="22" t="e">
        <f>IF(AND('Mapa final'!#REF!="Muy Alta",'Mapa final'!#REF!="Mayor"),CONCATENATE("R8C",'Mapa final'!#REF!),"")</f>
        <v>#REF!</v>
      </c>
      <c r="AE13" s="22" t="e">
        <f>IF(AND('Mapa final'!#REF!="Muy Alta",'Mapa final'!#REF!="Mayor"),CONCATENATE("R8C",'Mapa final'!#REF!),"")</f>
        <v>#REF!</v>
      </c>
      <c r="AF13" s="22" t="e">
        <f>IF(AND('Mapa final'!#REF!="Muy Alta",'Mapa final'!#REF!="Mayor"),CONCATENATE("R8C",'Mapa final'!#REF!),"")</f>
        <v>#REF!</v>
      </c>
      <c r="AG13" s="23" t="e">
        <f>IF(AND('Mapa final'!#REF!="Muy Alta",'Mapa final'!#REF!="Mayor"),CONCATENATE("R8C",'Mapa final'!#REF!),"")</f>
        <v>#REF!</v>
      </c>
      <c r="AH13" s="24" t="e">
        <f>IF(AND('Mapa final'!#REF!="Muy Alta",'Mapa final'!#REF!="Catastrófico"),CONCATENATE("R8C",'Mapa final'!#REF!),"")</f>
        <v>#REF!</v>
      </c>
      <c r="AI13" s="25" t="e">
        <f>IF(AND('Mapa final'!#REF!="Muy Alta",'Mapa final'!#REF!="Catastrófico"),CONCATENATE("R8C",'Mapa final'!#REF!),"")</f>
        <v>#REF!</v>
      </c>
      <c r="AJ13" s="25" t="e">
        <f>IF(AND('Mapa final'!#REF!="Muy Alta",'Mapa final'!#REF!="Catastrófico"),CONCATENATE("R8C",'Mapa final'!#REF!),"")</f>
        <v>#REF!</v>
      </c>
      <c r="AK13" s="25" t="e">
        <f>IF(AND('Mapa final'!#REF!="Muy Alta",'Mapa final'!#REF!="Catastrófico"),CONCATENATE("R8C",'Mapa final'!#REF!),"")</f>
        <v>#REF!</v>
      </c>
      <c r="AL13" s="25" t="e">
        <f>IF(AND('Mapa final'!#REF!="Muy Alta",'Mapa final'!#REF!="Catastrófico"),CONCATENATE("R8C",'Mapa final'!#REF!),"")</f>
        <v>#REF!</v>
      </c>
      <c r="AM13" s="26" t="e">
        <f>IF(AND('Mapa final'!#REF!="Muy Alta",'Mapa final'!#REF!="Catastrófico"),CONCATENATE("R8C",'Mapa final'!#REF!),"")</f>
        <v>#REF!</v>
      </c>
      <c r="AN13" s="1"/>
      <c r="AO13" s="289"/>
      <c r="AP13" s="235"/>
      <c r="AQ13" s="235"/>
      <c r="AR13" s="235"/>
      <c r="AS13" s="235"/>
      <c r="AT13" s="290"/>
    </row>
    <row r="14" spans="2:46" ht="15" customHeight="1" x14ac:dyDescent="0.25">
      <c r="B14" s="280"/>
      <c r="C14" s="235"/>
      <c r="D14" s="236"/>
      <c r="E14" s="247"/>
      <c r="F14" s="235"/>
      <c r="G14" s="235"/>
      <c r="H14" s="235"/>
      <c r="I14" s="236"/>
      <c r="J14" s="21" t="e">
        <f>IF(AND('Mapa final'!#REF!="Muy Alta",'Mapa final'!#REF!="Leve"),CONCATENATE("R9C",'Mapa final'!#REF!),"")</f>
        <v>#REF!</v>
      </c>
      <c r="K14" s="22" t="e">
        <f>IF(AND('Mapa final'!#REF!="Muy Alta",'Mapa final'!#REF!="Leve"),CONCATENATE("R9C",'Mapa final'!#REF!),"")</f>
        <v>#REF!</v>
      </c>
      <c r="L14" s="22" t="e">
        <f>IF(AND('Mapa final'!#REF!="Muy Alta",'Mapa final'!#REF!="Leve"),CONCATENATE("R9C",'Mapa final'!#REF!),"")</f>
        <v>#REF!</v>
      </c>
      <c r="M14" s="22" t="e">
        <f>IF(AND('Mapa final'!#REF!="Muy Alta",'Mapa final'!#REF!="Leve"),CONCATENATE("R9C",'Mapa final'!#REF!),"")</f>
        <v>#REF!</v>
      </c>
      <c r="N14" s="22" t="e">
        <f>IF(AND('Mapa final'!#REF!="Muy Alta",'Mapa final'!#REF!="Leve"),CONCATENATE("R9C",'Mapa final'!#REF!),"")</f>
        <v>#REF!</v>
      </c>
      <c r="O14" s="23" t="e">
        <f>IF(AND('Mapa final'!#REF!="Muy Alta",'Mapa final'!#REF!="Leve"),CONCATENATE("R9C",'Mapa final'!#REF!),"")</f>
        <v>#REF!</v>
      </c>
      <c r="P14" s="21" t="e">
        <f>IF(AND('Mapa final'!#REF!="Muy Alta",'Mapa final'!#REF!="Menor"),CONCATENATE("R9C",'Mapa final'!#REF!),"")</f>
        <v>#REF!</v>
      </c>
      <c r="Q14" s="22" t="e">
        <f>IF(AND('Mapa final'!#REF!="Muy Alta",'Mapa final'!#REF!="Menor"),CONCATENATE("R9C",'Mapa final'!#REF!),"")</f>
        <v>#REF!</v>
      </c>
      <c r="R14" s="22" t="e">
        <f>IF(AND('Mapa final'!#REF!="Muy Alta",'Mapa final'!#REF!="Menor"),CONCATENATE("R9C",'Mapa final'!#REF!),"")</f>
        <v>#REF!</v>
      </c>
      <c r="S14" s="22" t="e">
        <f>IF(AND('Mapa final'!#REF!="Muy Alta",'Mapa final'!#REF!="Menor"),CONCATENATE("R9C",'Mapa final'!#REF!),"")</f>
        <v>#REF!</v>
      </c>
      <c r="T14" s="22" t="e">
        <f>IF(AND('Mapa final'!#REF!="Muy Alta",'Mapa final'!#REF!="Menor"),CONCATENATE("R9C",'Mapa final'!#REF!),"")</f>
        <v>#REF!</v>
      </c>
      <c r="U14" s="23" t="e">
        <f>IF(AND('Mapa final'!#REF!="Muy Alta",'Mapa final'!#REF!="Menor"),CONCATENATE("R9C",'Mapa final'!#REF!),"")</f>
        <v>#REF!</v>
      </c>
      <c r="V14" s="21" t="e">
        <f>IF(AND('Mapa final'!#REF!="Muy Alta",'Mapa final'!#REF!="Moderado"),CONCATENATE("R9C",'Mapa final'!#REF!),"")</f>
        <v>#REF!</v>
      </c>
      <c r="W14" s="22" t="e">
        <f>IF(AND('Mapa final'!#REF!="Muy Alta",'Mapa final'!#REF!="Moderado"),CONCATENATE("R9C",'Mapa final'!#REF!),"")</f>
        <v>#REF!</v>
      </c>
      <c r="X14" s="22" t="e">
        <f>IF(AND('Mapa final'!#REF!="Muy Alta",'Mapa final'!#REF!="Moderado"),CONCATENATE("R9C",'Mapa final'!#REF!),"")</f>
        <v>#REF!</v>
      </c>
      <c r="Y14" s="22" t="e">
        <f>IF(AND('Mapa final'!#REF!="Muy Alta",'Mapa final'!#REF!="Moderado"),CONCATENATE("R9C",'Mapa final'!#REF!),"")</f>
        <v>#REF!</v>
      </c>
      <c r="Z14" s="22" t="e">
        <f>IF(AND('Mapa final'!#REF!="Muy Alta",'Mapa final'!#REF!="Moderado"),CONCATENATE("R9C",'Mapa final'!#REF!),"")</f>
        <v>#REF!</v>
      </c>
      <c r="AA14" s="23" t="e">
        <f>IF(AND('Mapa final'!#REF!="Muy Alta",'Mapa final'!#REF!="Moderado"),CONCATENATE("R9C",'Mapa final'!#REF!),"")</f>
        <v>#REF!</v>
      </c>
      <c r="AB14" s="21" t="e">
        <f>IF(AND('Mapa final'!#REF!="Muy Alta",'Mapa final'!#REF!="Mayor"),CONCATENATE("R9C",'Mapa final'!#REF!),"")</f>
        <v>#REF!</v>
      </c>
      <c r="AC14" s="22" t="e">
        <f>IF(AND('Mapa final'!#REF!="Muy Alta",'Mapa final'!#REF!="Mayor"),CONCATENATE("R9C",'Mapa final'!#REF!),"")</f>
        <v>#REF!</v>
      </c>
      <c r="AD14" s="22" t="e">
        <f>IF(AND('Mapa final'!#REF!="Muy Alta",'Mapa final'!#REF!="Mayor"),CONCATENATE("R9C",'Mapa final'!#REF!),"")</f>
        <v>#REF!</v>
      </c>
      <c r="AE14" s="22" t="e">
        <f>IF(AND('Mapa final'!#REF!="Muy Alta",'Mapa final'!#REF!="Mayor"),CONCATENATE("R9C",'Mapa final'!#REF!),"")</f>
        <v>#REF!</v>
      </c>
      <c r="AF14" s="22" t="e">
        <f>IF(AND('Mapa final'!#REF!="Muy Alta",'Mapa final'!#REF!="Mayor"),CONCATENATE("R9C",'Mapa final'!#REF!),"")</f>
        <v>#REF!</v>
      </c>
      <c r="AG14" s="23" t="e">
        <f>IF(AND('Mapa final'!#REF!="Muy Alta",'Mapa final'!#REF!="Mayor"),CONCATENATE("R9C",'Mapa final'!#REF!),"")</f>
        <v>#REF!</v>
      </c>
      <c r="AH14" s="24" t="e">
        <f>IF(AND('Mapa final'!#REF!="Muy Alta",'Mapa final'!#REF!="Catastrófico"),CONCATENATE("R9C",'Mapa final'!#REF!),"")</f>
        <v>#REF!</v>
      </c>
      <c r="AI14" s="25" t="e">
        <f>IF(AND('Mapa final'!#REF!="Muy Alta",'Mapa final'!#REF!="Catastrófico"),CONCATENATE("R9C",'Mapa final'!#REF!),"")</f>
        <v>#REF!</v>
      </c>
      <c r="AJ14" s="25" t="e">
        <f>IF(AND('Mapa final'!#REF!="Muy Alta",'Mapa final'!#REF!="Catastrófico"),CONCATENATE("R9C",'Mapa final'!#REF!),"")</f>
        <v>#REF!</v>
      </c>
      <c r="AK14" s="25" t="e">
        <f>IF(AND('Mapa final'!#REF!="Muy Alta",'Mapa final'!#REF!="Catastrófico"),CONCATENATE("R9C",'Mapa final'!#REF!),"")</f>
        <v>#REF!</v>
      </c>
      <c r="AL14" s="25" t="e">
        <f>IF(AND('Mapa final'!#REF!="Muy Alta",'Mapa final'!#REF!="Catastrófico"),CONCATENATE("R9C",'Mapa final'!#REF!),"")</f>
        <v>#REF!</v>
      </c>
      <c r="AM14" s="26" t="e">
        <f>IF(AND('Mapa final'!#REF!="Muy Alta",'Mapa final'!#REF!="Catastrófico"),CONCATENATE("R9C",'Mapa final'!#REF!),"")</f>
        <v>#REF!</v>
      </c>
      <c r="AN14" s="1"/>
      <c r="AO14" s="289"/>
      <c r="AP14" s="235"/>
      <c r="AQ14" s="235"/>
      <c r="AR14" s="235"/>
      <c r="AS14" s="235"/>
      <c r="AT14" s="290"/>
    </row>
    <row r="15" spans="2:46" ht="15.75" customHeight="1" x14ac:dyDescent="0.25">
      <c r="B15" s="280"/>
      <c r="C15" s="235"/>
      <c r="D15" s="236"/>
      <c r="E15" s="270"/>
      <c r="F15" s="271"/>
      <c r="G15" s="271"/>
      <c r="H15" s="271"/>
      <c r="I15" s="274"/>
      <c r="J15" s="27" t="e">
        <f>IF(AND('Mapa final'!#REF!="Muy Alta",'Mapa final'!#REF!="Leve"),CONCATENATE("R10C",'Mapa final'!#REF!),"")</f>
        <v>#REF!</v>
      </c>
      <c r="K15" s="28" t="e">
        <f>IF(AND('Mapa final'!#REF!="Muy Alta",'Mapa final'!#REF!="Leve"),CONCATENATE("R10C",'Mapa final'!#REF!),"")</f>
        <v>#REF!</v>
      </c>
      <c r="L15" s="28" t="e">
        <f>IF(AND('Mapa final'!#REF!="Muy Alta",'Mapa final'!#REF!="Leve"),CONCATENATE("R10C",'Mapa final'!#REF!),"")</f>
        <v>#REF!</v>
      </c>
      <c r="M15" s="28" t="e">
        <f>IF(AND('Mapa final'!#REF!="Muy Alta",'Mapa final'!#REF!="Leve"),CONCATENATE("R10C",'Mapa final'!#REF!),"")</f>
        <v>#REF!</v>
      </c>
      <c r="N15" s="28" t="e">
        <f>IF(AND('Mapa final'!#REF!="Muy Alta",'Mapa final'!#REF!="Leve"),CONCATENATE("R10C",'Mapa final'!#REF!),"")</f>
        <v>#REF!</v>
      </c>
      <c r="O15" s="29" t="e">
        <f>IF(AND('Mapa final'!#REF!="Muy Alta",'Mapa final'!#REF!="Leve"),CONCATENATE("R10C",'Mapa final'!#REF!),"")</f>
        <v>#REF!</v>
      </c>
      <c r="P15" s="21" t="e">
        <f>IF(AND('Mapa final'!#REF!="Muy Alta",'Mapa final'!#REF!="Menor"),CONCATENATE("R10C",'Mapa final'!#REF!),"")</f>
        <v>#REF!</v>
      </c>
      <c r="Q15" s="22" t="e">
        <f>IF(AND('Mapa final'!#REF!="Muy Alta",'Mapa final'!#REF!="Menor"),CONCATENATE("R10C",'Mapa final'!#REF!),"")</f>
        <v>#REF!</v>
      </c>
      <c r="R15" s="22" t="e">
        <f>IF(AND('Mapa final'!#REF!="Muy Alta",'Mapa final'!#REF!="Menor"),CONCATENATE("R10C",'Mapa final'!#REF!),"")</f>
        <v>#REF!</v>
      </c>
      <c r="S15" s="22" t="e">
        <f>IF(AND('Mapa final'!#REF!="Muy Alta",'Mapa final'!#REF!="Menor"),CONCATENATE("R10C",'Mapa final'!#REF!),"")</f>
        <v>#REF!</v>
      </c>
      <c r="T15" s="22" t="e">
        <f>IF(AND('Mapa final'!#REF!="Muy Alta",'Mapa final'!#REF!="Menor"),CONCATENATE("R10C",'Mapa final'!#REF!),"")</f>
        <v>#REF!</v>
      </c>
      <c r="U15" s="23" t="e">
        <f>IF(AND('Mapa final'!#REF!="Muy Alta",'Mapa final'!#REF!="Menor"),CONCATENATE("R10C",'Mapa final'!#REF!),"")</f>
        <v>#REF!</v>
      </c>
      <c r="V15" s="27" t="e">
        <f>IF(AND('Mapa final'!#REF!="Muy Alta",'Mapa final'!#REF!="Moderado"),CONCATENATE("R10C",'Mapa final'!#REF!),"")</f>
        <v>#REF!</v>
      </c>
      <c r="W15" s="28" t="e">
        <f>IF(AND('Mapa final'!#REF!="Muy Alta",'Mapa final'!#REF!="Moderado"),CONCATENATE("R10C",'Mapa final'!#REF!),"")</f>
        <v>#REF!</v>
      </c>
      <c r="X15" s="28" t="e">
        <f>IF(AND('Mapa final'!#REF!="Muy Alta",'Mapa final'!#REF!="Moderado"),CONCATENATE("R10C",'Mapa final'!#REF!),"")</f>
        <v>#REF!</v>
      </c>
      <c r="Y15" s="28" t="e">
        <f>IF(AND('Mapa final'!#REF!="Muy Alta",'Mapa final'!#REF!="Moderado"),CONCATENATE("R10C",'Mapa final'!#REF!),"")</f>
        <v>#REF!</v>
      </c>
      <c r="Z15" s="28" t="e">
        <f>IF(AND('Mapa final'!#REF!="Muy Alta",'Mapa final'!#REF!="Moderado"),CONCATENATE("R10C",'Mapa final'!#REF!),"")</f>
        <v>#REF!</v>
      </c>
      <c r="AA15" s="29" t="e">
        <f>IF(AND('Mapa final'!#REF!="Muy Alta",'Mapa final'!#REF!="Moderado"),CONCATENATE("R10C",'Mapa final'!#REF!),"")</f>
        <v>#REF!</v>
      </c>
      <c r="AB15" s="21" t="e">
        <f>IF(AND('Mapa final'!#REF!="Muy Alta",'Mapa final'!#REF!="Mayor"),CONCATENATE("R10C",'Mapa final'!#REF!),"")</f>
        <v>#REF!</v>
      </c>
      <c r="AC15" s="22" t="e">
        <f>IF(AND('Mapa final'!#REF!="Muy Alta",'Mapa final'!#REF!="Mayor"),CONCATENATE("R10C",'Mapa final'!#REF!),"")</f>
        <v>#REF!</v>
      </c>
      <c r="AD15" s="22" t="e">
        <f>IF(AND('Mapa final'!#REF!="Muy Alta",'Mapa final'!#REF!="Mayor"),CONCATENATE("R10C",'Mapa final'!#REF!),"")</f>
        <v>#REF!</v>
      </c>
      <c r="AE15" s="22" t="e">
        <f>IF(AND('Mapa final'!#REF!="Muy Alta",'Mapa final'!#REF!="Mayor"),CONCATENATE("R10C",'Mapa final'!#REF!),"")</f>
        <v>#REF!</v>
      </c>
      <c r="AF15" s="22" t="e">
        <f>IF(AND('Mapa final'!#REF!="Muy Alta",'Mapa final'!#REF!="Mayor"),CONCATENATE("R10C",'Mapa final'!#REF!),"")</f>
        <v>#REF!</v>
      </c>
      <c r="AG15" s="23" t="e">
        <f>IF(AND('Mapa final'!#REF!="Muy Alta",'Mapa final'!#REF!="Mayor"),CONCATENATE("R10C",'Mapa final'!#REF!),"")</f>
        <v>#REF!</v>
      </c>
      <c r="AH15" s="30" t="e">
        <f>IF(AND('Mapa final'!#REF!="Muy Alta",'Mapa final'!#REF!="Catastrófico"),CONCATENATE("R10C",'Mapa final'!#REF!),"")</f>
        <v>#REF!</v>
      </c>
      <c r="AI15" s="31" t="e">
        <f>IF(AND('Mapa final'!#REF!="Muy Alta",'Mapa final'!#REF!="Catastrófico"),CONCATENATE("R10C",'Mapa final'!#REF!),"")</f>
        <v>#REF!</v>
      </c>
      <c r="AJ15" s="31" t="e">
        <f>IF(AND('Mapa final'!#REF!="Muy Alta",'Mapa final'!#REF!="Catastrófico"),CONCATENATE("R10C",'Mapa final'!#REF!),"")</f>
        <v>#REF!</v>
      </c>
      <c r="AK15" s="31" t="e">
        <f>IF(AND('Mapa final'!#REF!="Muy Alta",'Mapa final'!#REF!="Catastrófico"),CONCATENATE("R10C",'Mapa final'!#REF!),"")</f>
        <v>#REF!</v>
      </c>
      <c r="AL15" s="31" t="e">
        <f>IF(AND('Mapa final'!#REF!="Muy Alta",'Mapa final'!#REF!="Catastrófico"),CONCATENATE("R10C",'Mapa final'!#REF!),"")</f>
        <v>#REF!</v>
      </c>
      <c r="AM15" s="32" t="e">
        <f>IF(AND('Mapa final'!#REF!="Muy Alta",'Mapa final'!#REF!="Catastrófico"),CONCATENATE("R10C",'Mapa final'!#REF!),"")</f>
        <v>#REF!</v>
      </c>
      <c r="AN15" s="1"/>
      <c r="AO15" s="291"/>
      <c r="AP15" s="292"/>
      <c r="AQ15" s="292"/>
      <c r="AR15" s="292"/>
      <c r="AS15" s="292"/>
      <c r="AT15" s="293"/>
    </row>
    <row r="16" spans="2:46" ht="15" customHeight="1" x14ac:dyDescent="0.25">
      <c r="B16" s="280"/>
      <c r="C16" s="235"/>
      <c r="D16" s="236"/>
      <c r="E16" s="298" t="s">
        <v>97</v>
      </c>
      <c r="F16" s="269"/>
      <c r="G16" s="269"/>
      <c r="H16" s="269"/>
      <c r="I16" s="269"/>
      <c r="J16" s="33" t="str">
        <f>IF(AND('Mapa final'!$Y$16="Alta",'Mapa final'!$AA$16="Leve"),CONCATENATE("R1C",'Mapa final'!$O$16),"")</f>
        <v/>
      </c>
      <c r="K16" s="34" t="str">
        <f>IF(AND('Mapa final'!$Y$17="Alta",'Mapa final'!$AA$17="Leve"),CONCATENATE("R1C",'Mapa final'!$O$17),"")</f>
        <v/>
      </c>
      <c r="L16" s="34" t="str">
        <f>IF(AND('Mapa final'!$Y$18="Alta",'Mapa final'!$AA$18="Leve"),CONCATENATE("R1C",'Mapa final'!$O$18),"")</f>
        <v/>
      </c>
      <c r="M16" s="34" t="e">
        <f>IF(AND('Mapa final'!#REF!="Alta",'Mapa final'!#REF!="Leve"),CONCATENATE("R1C",'Mapa final'!#REF!),"")</f>
        <v>#REF!</v>
      </c>
      <c r="N16" s="34" t="e">
        <f>IF(AND('Mapa final'!#REF!="Alta",'Mapa final'!#REF!="Leve"),CONCATENATE("R1C",'Mapa final'!#REF!),"")</f>
        <v>#REF!</v>
      </c>
      <c r="O16" s="35" t="e">
        <f>IF(AND('Mapa final'!#REF!="Alta",'Mapa final'!#REF!="Leve"),CONCATENATE("R1C",'Mapa final'!#REF!),"")</f>
        <v>#REF!</v>
      </c>
      <c r="P16" s="33" t="str">
        <f>IF(AND('Mapa final'!$Y$16="Alta",'Mapa final'!$AA$16="Menor"),CONCATENATE("R1C",'Mapa final'!$O$16),"")</f>
        <v/>
      </c>
      <c r="Q16" s="34" t="str">
        <f>IF(AND('Mapa final'!$Y$17="Alta",'Mapa final'!$AA$17="Menor"),CONCATENATE("R1C",'Mapa final'!$O$17),"")</f>
        <v/>
      </c>
      <c r="R16" s="34" t="str">
        <f>IF(AND('Mapa final'!$Y$18="Alta",'Mapa final'!$AA$18="Menor"),CONCATENATE("R1C",'Mapa final'!$O$18),"")</f>
        <v/>
      </c>
      <c r="S16" s="34" t="e">
        <f>IF(AND('Mapa final'!#REF!="Alta",'Mapa final'!#REF!="Menor"),CONCATENATE("R1C",'Mapa final'!#REF!),"")</f>
        <v>#REF!</v>
      </c>
      <c r="T16" s="34" t="e">
        <f>IF(AND('Mapa final'!#REF!="Alta",'Mapa final'!#REF!="Menor"),CONCATENATE("R1C",'Mapa final'!#REF!),"")</f>
        <v>#REF!</v>
      </c>
      <c r="U16" s="35" t="e">
        <f>IF(AND('Mapa final'!#REF!="Alta",'Mapa final'!#REF!="Menor"),CONCATENATE("R1C",'Mapa final'!#REF!),"")</f>
        <v>#REF!</v>
      </c>
      <c r="V16" s="15" t="str">
        <f>IF(AND('Mapa final'!$Y$16="Alta",'Mapa final'!$AA$16="Moderado"),CONCATENATE("R1C",'Mapa final'!$O$16),"")</f>
        <v/>
      </c>
      <c r="W16" s="16" t="str">
        <f>IF(AND('Mapa final'!$Y$17="Alta",'Mapa final'!$AA$17="Moderado"),CONCATENATE("R1C",'Mapa final'!$O$17),"")</f>
        <v/>
      </c>
      <c r="X16" s="16" t="str">
        <f>IF(AND('Mapa final'!$Y$18="Alta",'Mapa final'!$AA$18="Moderado"),CONCATENATE("R1C",'Mapa final'!$O$18),"")</f>
        <v/>
      </c>
      <c r="Y16" s="16" t="e">
        <f>IF(AND('Mapa final'!#REF!="Alta",'Mapa final'!#REF!="Moderado"),CONCATENATE("R1C",'Mapa final'!#REF!),"")</f>
        <v>#REF!</v>
      </c>
      <c r="Z16" s="16" t="e">
        <f>IF(AND('Mapa final'!#REF!="Alta",'Mapa final'!#REF!="Moderado"),CONCATENATE("R1C",'Mapa final'!#REF!),"")</f>
        <v>#REF!</v>
      </c>
      <c r="AA16" s="17" t="e">
        <f>IF(AND('Mapa final'!#REF!="Alta",'Mapa final'!#REF!="Moderado"),CONCATENATE("R1C",'Mapa final'!#REF!),"")</f>
        <v>#REF!</v>
      </c>
      <c r="AB16" s="15" t="str">
        <f>IF(AND('Mapa final'!$Y$16="Alta",'Mapa final'!$AA$16="Mayor"),CONCATENATE("R1C",'Mapa final'!$O$16),"")</f>
        <v/>
      </c>
      <c r="AC16" s="16" t="str">
        <f>IF(AND('Mapa final'!$Y$17="Alta",'Mapa final'!$AA$17="Mayor"),CONCATENATE("R1C",'Mapa final'!$O$17),"")</f>
        <v/>
      </c>
      <c r="AD16" s="16" t="str">
        <f>IF(AND('Mapa final'!$Y$18="Alta",'Mapa final'!$AA$18="Mayor"),CONCATENATE("R1C",'Mapa final'!$O$18),"")</f>
        <v/>
      </c>
      <c r="AE16" s="16" t="e">
        <f>IF(AND('Mapa final'!#REF!="Alta",'Mapa final'!#REF!="Mayor"),CONCATENATE("R1C",'Mapa final'!#REF!),"")</f>
        <v>#REF!</v>
      </c>
      <c r="AF16" s="16" t="e">
        <f>IF(AND('Mapa final'!#REF!="Alta",'Mapa final'!#REF!="Mayor"),CONCATENATE("R1C",'Mapa final'!#REF!),"")</f>
        <v>#REF!</v>
      </c>
      <c r="AG16" s="17" t="e">
        <f>IF(AND('Mapa final'!#REF!="Alta",'Mapa final'!#REF!="Mayor"),CONCATENATE("R1C",'Mapa final'!#REF!),"")</f>
        <v>#REF!</v>
      </c>
      <c r="AH16" s="18" t="str">
        <f>IF(AND('Mapa final'!$Y$16="Alta",'Mapa final'!$AA$16="Catastrófico"),CONCATENATE("R1C",'Mapa final'!$O$16),"")</f>
        <v/>
      </c>
      <c r="AI16" s="19" t="str">
        <f>IF(AND('Mapa final'!$Y$17="Alta",'Mapa final'!$AA$17="Catastrófico"),CONCATENATE("R1C",'Mapa final'!$O$17),"")</f>
        <v/>
      </c>
      <c r="AJ16" s="19" t="str">
        <f>IF(AND('Mapa final'!$Y$18="Alta",'Mapa final'!$AA$18="Catastrófico"),CONCATENATE("R1C",'Mapa final'!$O$18),"")</f>
        <v/>
      </c>
      <c r="AK16" s="19" t="e">
        <f>IF(AND('Mapa final'!#REF!="Alta",'Mapa final'!#REF!="Catastrófico"),CONCATENATE("R1C",'Mapa final'!#REF!),"")</f>
        <v>#REF!</v>
      </c>
      <c r="AL16" s="19" t="e">
        <f>IF(AND('Mapa final'!#REF!="Alta",'Mapa final'!#REF!="Catastrófico"),CONCATENATE("R1C",'Mapa final'!#REF!),"")</f>
        <v>#REF!</v>
      </c>
      <c r="AM16" s="20" t="e">
        <f>IF(AND('Mapa final'!#REF!="Alta",'Mapa final'!#REF!="Catastrófico"),CONCATENATE("R1C",'Mapa final'!#REF!),"")</f>
        <v>#REF!</v>
      </c>
      <c r="AN16" s="1"/>
      <c r="AO16" s="299" t="s">
        <v>98</v>
      </c>
      <c r="AP16" s="287"/>
      <c r="AQ16" s="287"/>
      <c r="AR16" s="287"/>
      <c r="AS16" s="287"/>
      <c r="AT16" s="288"/>
    </row>
    <row r="17" spans="2:46" ht="15" customHeight="1" x14ac:dyDescent="0.25">
      <c r="B17" s="280"/>
      <c r="C17" s="235"/>
      <c r="D17" s="236"/>
      <c r="E17" s="247"/>
      <c r="F17" s="235"/>
      <c r="G17" s="235"/>
      <c r="H17" s="235"/>
      <c r="I17" s="235"/>
      <c r="J17" s="36" t="str">
        <f>IF(AND('Mapa final'!$Y$21="Alta",'Mapa final'!$AA$21="Leve"),CONCATENATE("R2C",'Mapa final'!$O$21),"")</f>
        <v/>
      </c>
      <c r="K17" s="37" t="e">
        <f>IF(AND('Mapa final'!#REF!="Alta",'Mapa final'!#REF!="Leve"),CONCATENATE("R2C",'Mapa final'!#REF!),"")</f>
        <v>#REF!</v>
      </c>
      <c r="L17" s="37" t="e">
        <f>IF(AND('Mapa final'!#REF!="Alta",'Mapa final'!#REF!="Leve"),CONCATENATE("R2C",'Mapa final'!#REF!),"")</f>
        <v>#REF!</v>
      </c>
      <c r="M17" s="37" t="e">
        <f>IF(AND('Mapa final'!#REF!="Alta",'Mapa final'!#REF!="Leve"),CONCATENATE("R2C",'Mapa final'!#REF!),"")</f>
        <v>#REF!</v>
      </c>
      <c r="N17" s="37" t="str">
        <f>IF(AND('Mapa final'!$Y$22="Alta",'Mapa final'!$AA$22="Leve"),CONCATENATE("R2C",'Mapa final'!$O$22),"")</f>
        <v/>
      </c>
      <c r="O17" s="38" t="str">
        <f>IF(AND('Mapa final'!$Y$23="Alta",'Mapa final'!$AA$23="Leve"),CONCATENATE("R2C",'Mapa final'!$O$23),"")</f>
        <v/>
      </c>
      <c r="P17" s="36" t="str">
        <f>IF(AND('Mapa final'!$Y$21="Alta",'Mapa final'!$AA$21="Menor"),CONCATENATE("R2C",'Mapa final'!$O$21),"")</f>
        <v/>
      </c>
      <c r="Q17" s="37" t="e">
        <f>IF(AND('Mapa final'!#REF!="Alta",'Mapa final'!#REF!="Menor"),CONCATENATE("R2C",'Mapa final'!#REF!),"")</f>
        <v>#REF!</v>
      </c>
      <c r="R17" s="37" t="e">
        <f>IF(AND('Mapa final'!#REF!="Alta",'Mapa final'!#REF!="Menor"),CONCATENATE("R2C",'Mapa final'!#REF!),"")</f>
        <v>#REF!</v>
      </c>
      <c r="S17" s="37" t="e">
        <f>IF(AND('Mapa final'!#REF!="Alta",'Mapa final'!#REF!="Menor"),CONCATENATE("R2C",'Mapa final'!#REF!),"")</f>
        <v>#REF!</v>
      </c>
      <c r="T17" s="37" t="str">
        <f>IF(AND('Mapa final'!$Y$22="Alta",'Mapa final'!$AA$22="Menor"),CONCATENATE("R2C",'Mapa final'!$O$22),"")</f>
        <v/>
      </c>
      <c r="U17" s="38" t="str">
        <f>IF(AND('Mapa final'!$Y$23="Alta",'Mapa final'!$AA$23="Menor"),CONCATENATE("R2C",'Mapa final'!$O$23),"")</f>
        <v/>
      </c>
      <c r="V17" s="21" t="str">
        <f>IF(AND('Mapa final'!$Y$21="Alta",'Mapa final'!$AA$21="Moderado"),CONCATENATE("R2C",'Mapa final'!$O$21),"")</f>
        <v/>
      </c>
      <c r="W17" s="22" t="e">
        <f>IF(AND('Mapa final'!#REF!="Alta",'Mapa final'!#REF!="Moderado"),CONCATENATE("R2C",'Mapa final'!#REF!),"")</f>
        <v>#REF!</v>
      </c>
      <c r="X17" s="22" t="e">
        <f>IF(AND('Mapa final'!#REF!="Alta",'Mapa final'!#REF!="Moderado"),CONCATENATE("R2C",'Mapa final'!#REF!),"")</f>
        <v>#REF!</v>
      </c>
      <c r="Y17" s="22" t="e">
        <f>IF(AND('Mapa final'!#REF!="Alta",'Mapa final'!#REF!="Moderado"),CONCATENATE("R2C",'Mapa final'!#REF!),"")</f>
        <v>#REF!</v>
      </c>
      <c r="Z17" s="22" t="str">
        <f>IF(AND('Mapa final'!$Y$22="Alta",'Mapa final'!$AA$22="Moderado"),CONCATENATE("R2C",'Mapa final'!$O$22),"")</f>
        <v/>
      </c>
      <c r="AA17" s="23" t="str">
        <f>IF(AND('Mapa final'!$Y$23="Alta",'Mapa final'!$AA$23="Moderado"),CONCATENATE("R2C",'Mapa final'!$O$23),"")</f>
        <v/>
      </c>
      <c r="AB17" s="21" t="str">
        <f>IF(AND('Mapa final'!$Y$21="Alta",'Mapa final'!$AA$21="Mayor"),CONCATENATE("R2C",'Mapa final'!$O$21),"")</f>
        <v/>
      </c>
      <c r="AC17" s="22" t="e">
        <f>IF(AND('Mapa final'!#REF!="Alta",'Mapa final'!#REF!="Mayor"),CONCATENATE("R2C",'Mapa final'!#REF!),"")</f>
        <v>#REF!</v>
      </c>
      <c r="AD17" s="22" t="e">
        <f>IF(AND('Mapa final'!#REF!="Alta",'Mapa final'!#REF!="Mayor"),CONCATENATE("R2C",'Mapa final'!#REF!),"")</f>
        <v>#REF!</v>
      </c>
      <c r="AE17" s="22" t="e">
        <f>IF(AND('Mapa final'!#REF!="Alta",'Mapa final'!#REF!="Mayor"),CONCATENATE("R2C",'Mapa final'!#REF!),"")</f>
        <v>#REF!</v>
      </c>
      <c r="AF17" s="22" t="str">
        <f>IF(AND('Mapa final'!$Y$22="Alta",'Mapa final'!$AA$22="Mayor"),CONCATENATE("R2C",'Mapa final'!$O$22),"")</f>
        <v/>
      </c>
      <c r="AG17" s="23" t="str">
        <f>IF(AND('Mapa final'!$Y$23="Alta",'Mapa final'!$AA$23="Mayor"),CONCATENATE("R2C",'Mapa final'!$O$23),"")</f>
        <v/>
      </c>
      <c r="AH17" s="24" t="str">
        <f>IF(AND('Mapa final'!$Y$21="Alta",'Mapa final'!$AA$21="Catastrófico"),CONCATENATE("R2C",'Mapa final'!$O$21),"")</f>
        <v/>
      </c>
      <c r="AI17" s="25" t="e">
        <f>IF(AND('Mapa final'!#REF!="Alta",'Mapa final'!#REF!="Catastrófico"),CONCATENATE("R2C",'Mapa final'!#REF!),"")</f>
        <v>#REF!</v>
      </c>
      <c r="AJ17" s="25" t="e">
        <f>IF(AND('Mapa final'!#REF!="Alta",'Mapa final'!#REF!="Catastrófico"),CONCATENATE("R2C",'Mapa final'!#REF!),"")</f>
        <v>#REF!</v>
      </c>
      <c r="AK17" s="25" t="e">
        <f>IF(AND('Mapa final'!#REF!="Alta",'Mapa final'!#REF!="Catastrófico"),CONCATENATE("R2C",'Mapa final'!#REF!),"")</f>
        <v>#REF!</v>
      </c>
      <c r="AL17" s="25" t="str">
        <f>IF(AND('Mapa final'!$Y$22="Alta",'Mapa final'!$AA$22="Catastrófico"),CONCATENATE("R2C",'Mapa final'!$O$22),"")</f>
        <v/>
      </c>
      <c r="AM17" s="26" t="str">
        <f>IF(AND('Mapa final'!$Y$23="Alta",'Mapa final'!$AA$23="Catastrófico"),CONCATENATE("R2C",'Mapa final'!$O$23),"")</f>
        <v/>
      </c>
      <c r="AN17" s="1"/>
      <c r="AO17" s="289"/>
      <c r="AP17" s="235"/>
      <c r="AQ17" s="235"/>
      <c r="AR17" s="235"/>
      <c r="AS17" s="235"/>
      <c r="AT17" s="290"/>
    </row>
    <row r="18" spans="2:46" ht="15" customHeight="1" x14ac:dyDescent="0.25">
      <c r="B18" s="280"/>
      <c r="C18" s="235"/>
      <c r="D18" s="236"/>
      <c r="E18" s="247"/>
      <c r="F18" s="235"/>
      <c r="G18" s="235"/>
      <c r="H18" s="235"/>
      <c r="I18" s="235"/>
      <c r="J18" s="36" t="str">
        <f>IF(AND('Mapa final'!$Y$26="Alta",'Mapa final'!$AA$26="Leve"),CONCATENATE("R3C",'Mapa final'!$O$26),"")</f>
        <v/>
      </c>
      <c r="K18" s="37" t="str">
        <f>IF(AND('Mapa final'!$Y$27="Alta",'Mapa final'!$AA$27="Leve"),CONCATENATE("R3C",'Mapa final'!$O$27),"")</f>
        <v/>
      </c>
      <c r="L18" s="37" t="str">
        <f>IF(AND('Mapa final'!$Y$28="Alta",'Mapa final'!$AA$28="Leve"),CONCATENATE("R3C",'Mapa final'!$O$28),"")</f>
        <v/>
      </c>
      <c r="M18" s="37" t="e">
        <f>IF(AND('Mapa final'!#REF!="Alta",'Mapa final'!#REF!="Leve"),CONCATENATE("R3C",'Mapa final'!#REF!),"")</f>
        <v>#REF!</v>
      </c>
      <c r="N18" s="37" t="e">
        <f>IF(AND('Mapa final'!#REF!="Alta",'Mapa final'!#REF!="Leve"),CONCATENATE("R3C",'Mapa final'!#REF!),"")</f>
        <v>#REF!</v>
      </c>
      <c r="O18" s="38" t="e">
        <f>IF(AND('Mapa final'!#REF!="Alta",'Mapa final'!#REF!="Leve"),CONCATENATE("R3C",'Mapa final'!#REF!),"")</f>
        <v>#REF!</v>
      </c>
      <c r="P18" s="36" t="str">
        <f>IF(AND('Mapa final'!$Y$26="Alta",'Mapa final'!$AA$26="Menor"),CONCATENATE("R3C",'Mapa final'!$O$26),"")</f>
        <v/>
      </c>
      <c r="Q18" s="37" t="str">
        <f>IF(AND('Mapa final'!$Y$27="Alta",'Mapa final'!$AA$27="Menor"),CONCATENATE("R3C",'Mapa final'!$O$27),"")</f>
        <v/>
      </c>
      <c r="R18" s="37" t="str">
        <f>IF(AND('Mapa final'!$Y$28="Alta",'Mapa final'!$AA$28="Menor"),CONCATENATE("R3C",'Mapa final'!$O$28),"")</f>
        <v/>
      </c>
      <c r="S18" s="37" t="e">
        <f>IF(AND('Mapa final'!#REF!="Alta",'Mapa final'!#REF!="Menor"),CONCATENATE("R3C",'Mapa final'!#REF!),"")</f>
        <v>#REF!</v>
      </c>
      <c r="T18" s="37" t="e">
        <f>IF(AND('Mapa final'!#REF!="Alta",'Mapa final'!#REF!="Menor"),CONCATENATE("R3C",'Mapa final'!#REF!),"")</f>
        <v>#REF!</v>
      </c>
      <c r="U18" s="38" t="e">
        <f>IF(AND('Mapa final'!#REF!="Alta",'Mapa final'!#REF!="Menor"),CONCATENATE("R3C",'Mapa final'!#REF!),"")</f>
        <v>#REF!</v>
      </c>
      <c r="V18" s="21" t="str">
        <f>IF(AND('Mapa final'!$Y$26="Alta",'Mapa final'!$AA$26="Moderado"),CONCATENATE("R3C",'Mapa final'!$O$26),"")</f>
        <v/>
      </c>
      <c r="W18" s="22" t="str">
        <f>IF(AND('Mapa final'!$Y$27="Alta",'Mapa final'!$AA$27="Moderado"),CONCATENATE("R3C",'Mapa final'!$O$27),"")</f>
        <v/>
      </c>
      <c r="X18" s="22" t="str">
        <f>IF(AND('Mapa final'!$Y$28="Alta",'Mapa final'!$AA$28="Moderado"),CONCATENATE("R3C",'Mapa final'!$O$28),"")</f>
        <v/>
      </c>
      <c r="Y18" s="22" t="e">
        <f>IF(AND('Mapa final'!#REF!="Alta",'Mapa final'!#REF!="Moderado"),CONCATENATE("R3C",'Mapa final'!#REF!),"")</f>
        <v>#REF!</v>
      </c>
      <c r="Z18" s="22" t="e">
        <f>IF(AND('Mapa final'!#REF!="Alta",'Mapa final'!#REF!="Moderado"),CONCATENATE("R3C",'Mapa final'!#REF!),"")</f>
        <v>#REF!</v>
      </c>
      <c r="AA18" s="23" t="e">
        <f>IF(AND('Mapa final'!#REF!="Alta",'Mapa final'!#REF!="Moderado"),CONCATENATE("R3C",'Mapa final'!#REF!),"")</f>
        <v>#REF!</v>
      </c>
      <c r="AB18" s="21" t="str">
        <f>IF(AND('Mapa final'!$Y$26="Alta",'Mapa final'!$AA$26="Mayor"),CONCATENATE("R3C",'Mapa final'!$O$26),"")</f>
        <v/>
      </c>
      <c r="AC18" s="22" t="str">
        <f>IF(AND('Mapa final'!$Y$27="Alta",'Mapa final'!$AA$27="Mayor"),CONCATENATE("R3C",'Mapa final'!$O$27),"")</f>
        <v/>
      </c>
      <c r="AD18" s="22" t="str">
        <f>IF(AND('Mapa final'!$Y$28="Alta",'Mapa final'!$AA$28="Mayor"),CONCATENATE("R3C",'Mapa final'!$O$28),"")</f>
        <v/>
      </c>
      <c r="AE18" s="22" t="e">
        <f>IF(AND('Mapa final'!#REF!="Alta",'Mapa final'!#REF!="Mayor"),CONCATENATE("R3C",'Mapa final'!#REF!),"")</f>
        <v>#REF!</v>
      </c>
      <c r="AF18" s="22" t="e">
        <f>IF(AND('Mapa final'!#REF!="Alta",'Mapa final'!#REF!="Mayor"),CONCATENATE("R3C",'Mapa final'!#REF!),"")</f>
        <v>#REF!</v>
      </c>
      <c r="AG18" s="23" t="e">
        <f>IF(AND('Mapa final'!#REF!="Alta",'Mapa final'!#REF!="Mayor"),CONCATENATE("R3C",'Mapa final'!#REF!),"")</f>
        <v>#REF!</v>
      </c>
      <c r="AH18" s="24" t="str">
        <f>IF(AND('Mapa final'!$Y$26="Alta",'Mapa final'!$AA$26="Catastrófico"),CONCATENATE("R3C",'Mapa final'!$O$26),"")</f>
        <v/>
      </c>
      <c r="AI18" s="25" t="str">
        <f>IF(AND('Mapa final'!$Y$27="Alta",'Mapa final'!$AA$27="Catastrófico"),CONCATENATE("R3C",'Mapa final'!$O$27),"")</f>
        <v/>
      </c>
      <c r="AJ18" s="25" t="str">
        <f>IF(AND('Mapa final'!$Y$28="Alta",'Mapa final'!$AA$28="Catastrófico"),CONCATENATE("R3C",'Mapa final'!$O$28),"")</f>
        <v/>
      </c>
      <c r="AK18" s="25" t="e">
        <f>IF(AND('Mapa final'!#REF!="Alta",'Mapa final'!#REF!="Catastrófico"),CONCATENATE("R3C",'Mapa final'!#REF!),"")</f>
        <v>#REF!</v>
      </c>
      <c r="AL18" s="25" t="e">
        <f>IF(AND('Mapa final'!#REF!="Alta",'Mapa final'!#REF!="Catastrófico"),CONCATENATE("R3C",'Mapa final'!#REF!),"")</f>
        <v>#REF!</v>
      </c>
      <c r="AM18" s="26" t="e">
        <f>IF(AND('Mapa final'!#REF!="Alta",'Mapa final'!#REF!="Catastrófico"),CONCATENATE("R3C",'Mapa final'!#REF!),"")</f>
        <v>#REF!</v>
      </c>
      <c r="AN18" s="1"/>
      <c r="AO18" s="289"/>
      <c r="AP18" s="235"/>
      <c r="AQ18" s="235"/>
      <c r="AR18" s="235"/>
      <c r="AS18" s="235"/>
      <c r="AT18" s="290"/>
    </row>
    <row r="19" spans="2:46" ht="15" customHeight="1" x14ac:dyDescent="0.25">
      <c r="B19" s="280"/>
      <c r="C19" s="235"/>
      <c r="D19" s="236"/>
      <c r="E19" s="247"/>
      <c r="F19" s="235"/>
      <c r="G19" s="235"/>
      <c r="H19" s="235"/>
      <c r="I19" s="235"/>
      <c r="J19" s="36" t="str">
        <f>IF(AND('Mapa final'!$Y$31="Alta",'Mapa final'!$AA$31="Leve"),CONCATENATE("R4C",'Mapa final'!$O$31),"")</f>
        <v/>
      </c>
      <c r="K19" s="37" t="str">
        <f>IF(AND('Mapa final'!$Y$32="Alta",'Mapa final'!$AA$32="Leve"),CONCATENATE("R4C",'Mapa final'!$O$32),"")</f>
        <v/>
      </c>
      <c r="L19" s="37" t="e">
        <f>IF(AND('Mapa final'!#REF!="Alta",'Mapa final'!#REF!="Leve"),CONCATENATE("R4C",'Mapa final'!#REF!),"")</f>
        <v>#REF!</v>
      </c>
      <c r="M19" s="37" t="str">
        <f>IF(AND('Mapa final'!$Y$33="Alta",'Mapa final'!$AA$33="Leve"),CONCATENATE("R4C",'Mapa final'!$O$33),"")</f>
        <v/>
      </c>
      <c r="N19" s="37" t="e">
        <f>IF(AND('Mapa final'!#REF!="Alta",'Mapa final'!#REF!="Leve"),CONCATENATE("R4C",'Mapa final'!#REF!),"")</f>
        <v>#REF!</v>
      </c>
      <c r="O19" s="38" t="e">
        <f>IF(AND('Mapa final'!#REF!="Alta",'Mapa final'!#REF!="Leve"),CONCATENATE("R4C",'Mapa final'!#REF!),"")</f>
        <v>#REF!</v>
      </c>
      <c r="P19" s="36" t="str">
        <f>IF(AND('Mapa final'!$Y$31="Alta",'Mapa final'!$AA$31="Menor"),CONCATENATE("R4C",'Mapa final'!$O$31),"")</f>
        <v/>
      </c>
      <c r="Q19" s="37" t="str">
        <f>IF(AND('Mapa final'!$Y$32="Alta",'Mapa final'!$AA$32="Menor"),CONCATENATE("R4C",'Mapa final'!$O$32),"")</f>
        <v/>
      </c>
      <c r="R19" s="37" t="e">
        <f>IF(AND('Mapa final'!#REF!="Alta",'Mapa final'!#REF!="Menor"),CONCATENATE("R4C",'Mapa final'!#REF!),"")</f>
        <v>#REF!</v>
      </c>
      <c r="S19" s="37" t="str">
        <f>IF(AND('Mapa final'!$Y$33="Alta",'Mapa final'!$AA$33="Menor"),CONCATENATE("R4C",'Mapa final'!$O$33),"")</f>
        <v/>
      </c>
      <c r="T19" s="37" t="e">
        <f>IF(AND('Mapa final'!#REF!="Alta",'Mapa final'!#REF!="Menor"),CONCATENATE("R4C",'Mapa final'!#REF!),"")</f>
        <v>#REF!</v>
      </c>
      <c r="U19" s="38" t="e">
        <f>IF(AND('Mapa final'!#REF!="Alta",'Mapa final'!#REF!="Menor"),CONCATENATE("R4C",'Mapa final'!#REF!),"")</f>
        <v>#REF!</v>
      </c>
      <c r="V19" s="21" t="str">
        <f>IF(AND('Mapa final'!$Y$31="Alta",'Mapa final'!$AA$31="Moderado"),CONCATENATE("R4C",'Mapa final'!$O$31),"")</f>
        <v/>
      </c>
      <c r="W19" s="22" t="str">
        <f>IF(AND('Mapa final'!$Y$32="Alta",'Mapa final'!$AA$32="Moderado"),CONCATENATE("R4C",'Mapa final'!$O$32),"")</f>
        <v/>
      </c>
      <c r="X19" s="22" t="e">
        <f>IF(AND('Mapa final'!#REF!="Alta",'Mapa final'!#REF!="Moderado"),CONCATENATE("R4C",'Mapa final'!#REF!),"")</f>
        <v>#REF!</v>
      </c>
      <c r="Y19" s="22" t="str">
        <f>IF(AND('Mapa final'!$Y$33="Alta",'Mapa final'!$AA$33="Moderado"),CONCATENATE("R4C",'Mapa final'!$O$33),"")</f>
        <v/>
      </c>
      <c r="Z19" s="22" t="e">
        <f>IF(AND('Mapa final'!#REF!="Alta",'Mapa final'!#REF!="Moderado"),CONCATENATE("R4C",'Mapa final'!#REF!),"")</f>
        <v>#REF!</v>
      </c>
      <c r="AA19" s="23" t="e">
        <f>IF(AND('Mapa final'!#REF!="Alta",'Mapa final'!#REF!="Moderado"),CONCATENATE("R4C",'Mapa final'!#REF!),"")</f>
        <v>#REF!</v>
      </c>
      <c r="AB19" s="21" t="str">
        <f>IF(AND('Mapa final'!$Y$31="Alta",'Mapa final'!$AA$31="Mayor"),CONCATENATE("R4C",'Mapa final'!$O$31),"")</f>
        <v/>
      </c>
      <c r="AC19" s="22" t="str">
        <f>IF(AND('Mapa final'!$Y$32="Alta",'Mapa final'!$AA$32="Mayor"),CONCATENATE("R4C",'Mapa final'!$O$32),"")</f>
        <v/>
      </c>
      <c r="AD19" s="22" t="e">
        <f>IF(AND('Mapa final'!#REF!="Alta",'Mapa final'!#REF!="Mayor"),CONCATENATE("R4C",'Mapa final'!#REF!),"")</f>
        <v>#REF!</v>
      </c>
      <c r="AE19" s="22" t="str">
        <f>IF(AND('Mapa final'!$Y$33="Alta",'Mapa final'!$AA$33="Mayor"),CONCATENATE("R4C",'Mapa final'!$O$33),"")</f>
        <v/>
      </c>
      <c r="AF19" s="22" t="e">
        <f>IF(AND('Mapa final'!#REF!="Alta",'Mapa final'!#REF!="Mayor"),CONCATENATE("R4C",'Mapa final'!#REF!),"")</f>
        <v>#REF!</v>
      </c>
      <c r="AG19" s="23" t="e">
        <f>IF(AND('Mapa final'!#REF!="Alta",'Mapa final'!#REF!="Mayor"),CONCATENATE("R4C",'Mapa final'!#REF!),"")</f>
        <v>#REF!</v>
      </c>
      <c r="AH19" s="24" t="str">
        <f>IF(AND('Mapa final'!$Y$31="Alta",'Mapa final'!$AA$31="Catastrófico"),CONCATENATE("R4C",'Mapa final'!$O$31),"")</f>
        <v/>
      </c>
      <c r="AI19" s="25" t="str">
        <f>IF(AND('Mapa final'!$Y$32="Alta",'Mapa final'!$AA$32="Catastrófico"),CONCATENATE("R4C",'Mapa final'!$O$32),"")</f>
        <v/>
      </c>
      <c r="AJ19" s="25" t="e">
        <f>IF(AND('Mapa final'!#REF!="Alta",'Mapa final'!#REF!="Catastrófico"),CONCATENATE("R4C",'Mapa final'!#REF!),"")</f>
        <v>#REF!</v>
      </c>
      <c r="AK19" s="25" t="str">
        <f>IF(AND('Mapa final'!$Y$33="Alta",'Mapa final'!$AA$33="Catastrófico"),CONCATENATE("R4C",'Mapa final'!$O$33),"")</f>
        <v/>
      </c>
      <c r="AL19" s="25" t="e">
        <f>IF(AND('Mapa final'!#REF!="Alta",'Mapa final'!#REF!="Catastrófico"),CONCATENATE("R4C",'Mapa final'!#REF!),"")</f>
        <v>#REF!</v>
      </c>
      <c r="AM19" s="26" t="e">
        <f>IF(AND('Mapa final'!#REF!="Alta",'Mapa final'!#REF!="Catastrófico"),CONCATENATE("R4C",'Mapa final'!#REF!),"")</f>
        <v>#REF!</v>
      </c>
      <c r="AN19" s="1"/>
      <c r="AO19" s="289"/>
      <c r="AP19" s="235"/>
      <c r="AQ19" s="235"/>
      <c r="AR19" s="235"/>
      <c r="AS19" s="235"/>
      <c r="AT19" s="290"/>
    </row>
    <row r="20" spans="2:46" ht="15" customHeight="1" x14ac:dyDescent="0.25">
      <c r="B20" s="280"/>
      <c r="C20" s="235"/>
      <c r="D20" s="236"/>
      <c r="E20" s="247"/>
      <c r="F20" s="235"/>
      <c r="G20" s="235"/>
      <c r="H20" s="235"/>
      <c r="I20" s="235"/>
      <c r="J20" s="36" t="str">
        <f>IF(AND('Mapa final'!$Y$36="Alta",'Mapa final'!$AA$36="Leve"),CONCATENATE("R5C",'Mapa final'!$O$36),"")</f>
        <v/>
      </c>
      <c r="K20" s="37" t="str">
        <f>IF(AND('Mapa final'!$Y$37="Alta",'Mapa final'!$AA$37="Leve"),CONCATENATE("R5C",'Mapa final'!$O$37),"")</f>
        <v/>
      </c>
      <c r="L20" s="37" t="str">
        <f>IF(AND('Mapa final'!$Y$38="Alta",'Mapa final'!$AA$38="Leve"),CONCATENATE("R5C",'Mapa final'!$O$38),"")</f>
        <v/>
      </c>
      <c r="M20" s="37" t="e">
        <f>IF(AND('Mapa final'!#REF!="Alta",'Mapa final'!#REF!="Leve"),CONCATENATE("R5C",'Mapa final'!#REF!),"")</f>
        <v>#REF!</v>
      </c>
      <c r="N20" s="37" t="e">
        <f>IF(AND('Mapa final'!#REF!="Alta",'Mapa final'!#REF!="Leve"),CONCATENATE("R5C",'Mapa final'!#REF!),"")</f>
        <v>#REF!</v>
      </c>
      <c r="O20" s="38" t="e">
        <f>IF(AND('Mapa final'!#REF!="Alta",'Mapa final'!#REF!="Leve"),CONCATENATE("R5C",'Mapa final'!#REF!),"")</f>
        <v>#REF!</v>
      </c>
      <c r="P20" s="36" t="str">
        <f>IF(AND('Mapa final'!$Y$36="Alta",'Mapa final'!$AA$36="Menor"),CONCATENATE("R5C",'Mapa final'!$O$36),"")</f>
        <v/>
      </c>
      <c r="Q20" s="37" t="str">
        <f>IF(AND('Mapa final'!$Y$37="Alta",'Mapa final'!$AA$37="Menor"),CONCATENATE("R5C",'Mapa final'!$O$37),"")</f>
        <v/>
      </c>
      <c r="R20" s="37" t="str">
        <f>IF(AND('Mapa final'!$Y$38="Alta",'Mapa final'!$AA$38="Menor"),CONCATENATE("R5C",'Mapa final'!$O$38),"")</f>
        <v/>
      </c>
      <c r="S20" s="37" t="e">
        <f>IF(AND('Mapa final'!#REF!="Alta",'Mapa final'!#REF!="Menor"),CONCATENATE("R5C",'Mapa final'!#REF!),"")</f>
        <v>#REF!</v>
      </c>
      <c r="T20" s="37" t="e">
        <f>IF(AND('Mapa final'!#REF!="Alta",'Mapa final'!#REF!="Menor"),CONCATENATE("R5C",'Mapa final'!#REF!),"")</f>
        <v>#REF!</v>
      </c>
      <c r="U20" s="38" t="e">
        <f>IF(AND('Mapa final'!#REF!="Alta",'Mapa final'!#REF!="Menor"),CONCATENATE("R5C",'Mapa final'!#REF!),"")</f>
        <v>#REF!</v>
      </c>
      <c r="V20" s="21" t="str">
        <f>IF(AND('Mapa final'!$Y$36="Alta",'Mapa final'!$AA$36="Moderado"),CONCATENATE("R5C",'Mapa final'!$O$36),"")</f>
        <v/>
      </c>
      <c r="W20" s="22" t="str">
        <f>IF(AND('Mapa final'!$Y$37="Alta",'Mapa final'!$AA$37="Moderado"),CONCATENATE("R5C",'Mapa final'!$O$37),"")</f>
        <v/>
      </c>
      <c r="X20" s="22" t="str">
        <f>IF(AND('Mapa final'!$Y$38="Alta",'Mapa final'!$AA$38="Moderado"),CONCATENATE("R5C",'Mapa final'!$O$38),"")</f>
        <v/>
      </c>
      <c r="Y20" s="22" t="e">
        <f>IF(AND('Mapa final'!#REF!="Alta",'Mapa final'!#REF!="Moderado"),CONCATENATE("R5C",'Mapa final'!#REF!),"")</f>
        <v>#REF!</v>
      </c>
      <c r="Z20" s="22" t="e">
        <f>IF(AND('Mapa final'!#REF!="Alta",'Mapa final'!#REF!="Moderado"),CONCATENATE("R5C",'Mapa final'!#REF!),"")</f>
        <v>#REF!</v>
      </c>
      <c r="AA20" s="23" t="e">
        <f>IF(AND('Mapa final'!#REF!="Alta",'Mapa final'!#REF!="Moderado"),CONCATENATE("R5C",'Mapa final'!#REF!),"")</f>
        <v>#REF!</v>
      </c>
      <c r="AB20" s="21" t="str">
        <f>IF(AND('Mapa final'!$Y$36="Alta",'Mapa final'!$AA$36="Mayor"),CONCATENATE("R5C",'Mapa final'!$O$36),"")</f>
        <v/>
      </c>
      <c r="AC20" s="22" t="str">
        <f>IF(AND('Mapa final'!$Y$37="Alta",'Mapa final'!$AA$37="Mayor"),CONCATENATE("R5C",'Mapa final'!$O$37),"")</f>
        <v/>
      </c>
      <c r="AD20" s="22" t="str">
        <f>IF(AND('Mapa final'!$Y$38="Alta",'Mapa final'!$AA$38="Mayor"),CONCATENATE("R5C",'Mapa final'!$O$38),"")</f>
        <v/>
      </c>
      <c r="AE20" s="22" t="e">
        <f>IF(AND('Mapa final'!#REF!="Alta",'Mapa final'!#REF!="Mayor"),CONCATENATE("R5C",'Mapa final'!#REF!),"")</f>
        <v>#REF!</v>
      </c>
      <c r="AF20" s="22" t="e">
        <f>IF(AND('Mapa final'!#REF!="Alta",'Mapa final'!#REF!="Mayor"),CONCATENATE("R5C",'Mapa final'!#REF!),"")</f>
        <v>#REF!</v>
      </c>
      <c r="AG20" s="23" t="e">
        <f>IF(AND('Mapa final'!#REF!="Alta",'Mapa final'!#REF!="Mayor"),CONCATENATE("R5C",'Mapa final'!#REF!),"")</f>
        <v>#REF!</v>
      </c>
      <c r="AH20" s="24" t="str">
        <f>IF(AND('Mapa final'!$Y$36="Alta",'Mapa final'!$AA$36="Catastrófico"),CONCATENATE("R5C",'Mapa final'!$O$36),"")</f>
        <v/>
      </c>
      <c r="AI20" s="25" t="str">
        <f>IF(AND('Mapa final'!$Y$37="Alta",'Mapa final'!$AA$37="Catastrófico"),CONCATENATE("R5C",'Mapa final'!$O$37),"")</f>
        <v/>
      </c>
      <c r="AJ20" s="25" t="str">
        <f>IF(AND('Mapa final'!$Y$38="Alta",'Mapa final'!$AA$38="Catastrófico"),CONCATENATE("R5C",'Mapa final'!$O$38),"")</f>
        <v/>
      </c>
      <c r="AK20" s="25" t="e">
        <f>IF(AND('Mapa final'!#REF!="Alta",'Mapa final'!#REF!="Catastrófico"),CONCATENATE("R5C",'Mapa final'!#REF!),"")</f>
        <v>#REF!</v>
      </c>
      <c r="AL20" s="25" t="e">
        <f>IF(AND('Mapa final'!#REF!="Alta",'Mapa final'!#REF!="Catastrófico"),CONCATENATE("R5C",'Mapa final'!#REF!),"")</f>
        <v>#REF!</v>
      </c>
      <c r="AM20" s="26" t="e">
        <f>IF(AND('Mapa final'!#REF!="Alta",'Mapa final'!#REF!="Catastrófico"),CONCATENATE("R5C",'Mapa final'!#REF!),"")</f>
        <v>#REF!</v>
      </c>
      <c r="AN20" s="1"/>
      <c r="AO20" s="289"/>
      <c r="AP20" s="235"/>
      <c r="AQ20" s="235"/>
      <c r="AR20" s="235"/>
      <c r="AS20" s="235"/>
      <c r="AT20" s="290"/>
    </row>
    <row r="21" spans="2:46" ht="15" customHeight="1" x14ac:dyDescent="0.25">
      <c r="B21" s="280"/>
      <c r="C21" s="235"/>
      <c r="D21" s="236"/>
      <c r="E21" s="247"/>
      <c r="F21" s="235"/>
      <c r="G21" s="235"/>
      <c r="H21" s="235"/>
      <c r="I21" s="235"/>
      <c r="J21" s="36" t="str">
        <f>IF(AND('Mapa final'!$Y$44="Alta",'Mapa final'!$AA$44="Leve"),CONCATENATE("R6C",'Mapa final'!$O$44),"")</f>
        <v/>
      </c>
      <c r="K21" s="37" t="str">
        <f>IF(AND('Mapa final'!$Y$45="Alta",'Mapa final'!$AA$45="Leve"),CONCATENATE("R6C",'Mapa final'!$O$45),"")</f>
        <v/>
      </c>
      <c r="L21" s="37" t="str">
        <f>IF(AND('Mapa final'!$Y$46="Alta",'Mapa final'!$AA$46="Leve"),CONCATENATE("R6C",'Mapa final'!$O$46),"")</f>
        <v/>
      </c>
      <c r="M21" s="37" t="e">
        <f>IF(AND('Mapa final'!#REF!="Alta",'Mapa final'!#REF!="Leve"),CONCATENATE("R6C",'Mapa final'!#REF!),"")</f>
        <v>#REF!</v>
      </c>
      <c r="N21" s="37" t="e">
        <f>IF(AND('Mapa final'!#REF!="Alta",'Mapa final'!#REF!="Leve"),CONCATENATE("R6C",'Mapa final'!#REF!),"")</f>
        <v>#REF!</v>
      </c>
      <c r="O21" s="38" t="e">
        <f>IF(AND('Mapa final'!#REF!="Alta",'Mapa final'!#REF!="Leve"),CONCATENATE("R6C",'Mapa final'!#REF!),"")</f>
        <v>#REF!</v>
      </c>
      <c r="P21" s="36" t="str">
        <f>IF(AND('Mapa final'!$Y$44="Alta",'Mapa final'!$AA$44="Menor"),CONCATENATE("R6C",'Mapa final'!$O$44),"")</f>
        <v/>
      </c>
      <c r="Q21" s="37" t="str">
        <f>IF(AND('Mapa final'!$Y$45="Alta",'Mapa final'!$AA$45="Menor"),CONCATENATE("R6C",'Mapa final'!$O$45),"")</f>
        <v/>
      </c>
      <c r="R21" s="37" t="str">
        <f>IF(AND('Mapa final'!$Y$46="Alta",'Mapa final'!$AA$46="Menor"),CONCATENATE("R6C",'Mapa final'!$O$46),"")</f>
        <v/>
      </c>
      <c r="S21" s="37" t="e">
        <f>IF(AND('Mapa final'!#REF!="Alta",'Mapa final'!#REF!="Menor"),CONCATENATE("R6C",'Mapa final'!#REF!),"")</f>
        <v>#REF!</v>
      </c>
      <c r="T21" s="37" t="e">
        <f>IF(AND('Mapa final'!#REF!="Alta",'Mapa final'!#REF!="Menor"),CONCATENATE("R6C",'Mapa final'!#REF!),"")</f>
        <v>#REF!</v>
      </c>
      <c r="U21" s="38" t="e">
        <f>IF(AND('Mapa final'!#REF!="Alta",'Mapa final'!#REF!="Menor"),CONCATENATE("R6C",'Mapa final'!#REF!),"")</f>
        <v>#REF!</v>
      </c>
      <c r="V21" s="21" t="str">
        <f>IF(AND('Mapa final'!$Y$44="Alta",'Mapa final'!$AA$44="Moderado"),CONCATENATE("R6C",'Mapa final'!$O$44),"")</f>
        <v/>
      </c>
      <c r="W21" s="22" t="str">
        <f>IF(AND('Mapa final'!$Y$45="Alta",'Mapa final'!$AA$45="Moderado"),CONCATENATE("R6C",'Mapa final'!$O$45),"")</f>
        <v/>
      </c>
      <c r="X21" s="22" t="str">
        <f>IF(AND('Mapa final'!$Y$46="Alta",'Mapa final'!$AA$46="Moderado"),CONCATENATE("R6C",'Mapa final'!$O$46),"")</f>
        <v/>
      </c>
      <c r="Y21" s="22" t="e">
        <f>IF(AND('Mapa final'!#REF!="Alta",'Mapa final'!#REF!="Moderado"),CONCATENATE("R6C",'Mapa final'!#REF!),"")</f>
        <v>#REF!</v>
      </c>
      <c r="Z21" s="22" t="e">
        <f>IF(AND('Mapa final'!#REF!="Alta",'Mapa final'!#REF!="Moderado"),CONCATENATE("R6C",'Mapa final'!#REF!),"")</f>
        <v>#REF!</v>
      </c>
      <c r="AA21" s="23" t="e">
        <f>IF(AND('Mapa final'!#REF!="Alta",'Mapa final'!#REF!="Moderado"),CONCATENATE("R6C",'Mapa final'!#REF!),"")</f>
        <v>#REF!</v>
      </c>
      <c r="AB21" s="21" t="str">
        <f>IF(AND('Mapa final'!$Y$44="Alta",'Mapa final'!$AA$44="Mayor"),CONCATENATE("R6C",'Mapa final'!$O$44),"")</f>
        <v/>
      </c>
      <c r="AC21" s="22" t="str">
        <f>IF(AND('Mapa final'!$Y$45="Alta",'Mapa final'!$AA$45="Mayor"),CONCATENATE("R6C",'Mapa final'!$O$45),"")</f>
        <v/>
      </c>
      <c r="AD21" s="22" t="str">
        <f>IF(AND('Mapa final'!$Y$46="Alta",'Mapa final'!$AA$46="Mayor"),CONCATENATE("R6C",'Mapa final'!$O$46),"")</f>
        <v/>
      </c>
      <c r="AE21" s="22" t="e">
        <f>IF(AND('Mapa final'!#REF!="Alta",'Mapa final'!#REF!="Mayor"),CONCATENATE("R6C",'Mapa final'!#REF!),"")</f>
        <v>#REF!</v>
      </c>
      <c r="AF21" s="22" t="e">
        <f>IF(AND('Mapa final'!#REF!="Alta",'Mapa final'!#REF!="Mayor"),CONCATENATE("R6C",'Mapa final'!#REF!),"")</f>
        <v>#REF!</v>
      </c>
      <c r="AG21" s="23" t="e">
        <f>IF(AND('Mapa final'!#REF!="Alta",'Mapa final'!#REF!="Mayor"),CONCATENATE("R6C",'Mapa final'!#REF!),"")</f>
        <v>#REF!</v>
      </c>
      <c r="AH21" s="24" t="str">
        <f>IF(AND('Mapa final'!$Y$44="Alta",'Mapa final'!$AA$44="Catastrófico"),CONCATENATE("R6C",'Mapa final'!$O$44),"")</f>
        <v/>
      </c>
      <c r="AI21" s="25" t="str">
        <f>IF(AND('Mapa final'!$Y$45="Alta",'Mapa final'!$AA$45="Catastrófico"),CONCATENATE("R6C",'Mapa final'!$O$45),"")</f>
        <v/>
      </c>
      <c r="AJ21" s="25" t="str">
        <f>IF(AND('Mapa final'!$Y$46="Alta",'Mapa final'!$AA$46="Catastrófico"),CONCATENATE("R6C",'Mapa final'!$O$46),"")</f>
        <v/>
      </c>
      <c r="AK21" s="25" t="e">
        <f>IF(AND('Mapa final'!#REF!="Alta",'Mapa final'!#REF!="Catastrófico"),CONCATENATE("R6C",'Mapa final'!#REF!),"")</f>
        <v>#REF!</v>
      </c>
      <c r="AL21" s="25" t="e">
        <f>IF(AND('Mapa final'!#REF!="Alta",'Mapa final'!#REF!="Catastrófico"),CONCATENATE("R6C",'Mapa final'!#REF!),"")</f>
        <v>#REF!</v>
      </c>
      <c r="AM21" s="26" t="e">
        <f>IF(AND('Mapa final'!#REF!="Alta",'Mapa final'!#REF!="Catastrófico"),CONCATENATE("R6C",'Mapa final'!#REF!),"")</f>
        <v>#REF!</v>
      </c>
      <c r="AN21" s="1"/>
      <c r="AO21" s="289"/>
      <c r="AP21" s="235"/>
      <c r="AQ21" s="235"/>
      <c r="AR21" s="235"/>
      <c r="AS21" s="235"/>
      <c r="AT21" s="290"/>
    </row>
    <row r="22" spans="2:46" ht="15" customHeight="1" x14ac:dyDescent="0.25">
      <c r="B22" s="280"/>
      <c r="C22" s="235"/>
      <c r="D22" s="236"/>
      <c r="E22" s="247"/>
      <c r="F22" s="235"/>
      <c r="G22" s="235"/>
      <c r="H22" s="235"/>
      <c r="I22" s="235"/>
      <c r="J22" s="36" t="e">
        <f>IF(AND('Mapa final'!#REF!="Alta",'Mapa final'!#REF!="Leve"),CONCATENATE("R7C",'Mapa final'!#REF!),"")</f>
        <v>#REF!</v>
      </c>
      <c r="K22" s="37" t="e">
        <f>IF(AND('Mapa final'!#REF!="Alta",'Mapa final'!#REF!="Leve"),CONCATENATE("R7C",'Mapa final'!#REF!),"")</f>
        <v>#REF!</v>
      </c>
      <c r="L22" s="37" t="e">
        <f>IF(AND('Mapa final'!#REF!="Alta",'Mapa final'!#REF!="Leve"),CONCATENATE("R7C",'Mapa final'!#REF!),"")</f>
        <v>#REF!</v>
      </c>
      <c r="M22" s="37" t="e">
        <f>IF(AND('Mapa final'!#REF!="Alta",'Mapa final'!#REF!="Leve"),CONCATENATE("R7C",'Mapa final'!#REF!),"")</f>
        <v>#REF!</v>
      </c>
      <c r="N22" s="37" t="e">
        <f>IF(AND('Mapa final'!#REF!="Alta",'Mapa final'!#REF!="Leve"),CONCATENATE("R7C",'Mapa final'!#REF!),"")</f>
        <v>#REF!</v>
      </c>
      <c r="O22" s="38" t="e">
        <f>IF(AND('Mapa final'!#REF!="Alta",'Mapa final'!#REF!="Leve"),CONCATENATE("R7C",'Mapa final'!#REF!),"")</f>
        <v>#REF!</v>
      </c>
      <c r="P22" s="36" t="e">
        <f>IF(AND('Mapa final'!#REF!="Alta",'Mapa final'!#REF!="Menor"),CONCATENATE("R7C",'Mapa final'!#REF!),"")</f>
        <v>#REF!</v>
      </c>
      <c r="Q22" s="37" t="e">
        <f>IF(AND('Mapa final'!#REF!="Alta",'Mapa final'!#REF!="Menor"),CONCATENATE("R7C",'Mapa final'!#REF!),"")</f>
        <v>#REF!</v>
      </c>
      <c r="R22" s="37" t="e">
        <f>IF(AND('Mapa final'!#REF!="Alta",'Mapa final'!#REF!="Menor"),CONCATENATE("R7C",'Mapa final'!#REF!),"")</f>
        <v>#REF!</v>
      </c>
      <c r="S22" s="37" t="e">
        <f>IF(AND('Mapa final'!#REF!="Alta",'Mapa final'!#REF!="Menor"),CONCATENATE("R7C",'Mapa final'!#REF!),"")</f>
        <v>#REF!</v>
      </c>
      <c r="T22" s="37" t="e">
        <f>IF(AND('Mapa final'!#REF!="Alta",'Mapa final'!#REF!="Menor"),CONCATENATE("R7C",'Mapa final'!#REF!),"")</f>
        <v>#REF!</v>
      </c>
      <c r="U22" s="38" t="e">
        <f>IF(AND('Mapa final'!#REF!="Alta",'Mapa final'!#REF!="Menor"),CONCATENATE("R7C",'Mapa final'!#REF!),"")</f>
        <v>#REF!</v>
      </c>
      <c r="V22" s="21" t="e">
        <f>IF(AND('Mapa final'!#REF!="Alta",'Mapa final'!#REF!="Moderado"),CONCATENATE("R7C",'Mapa final'!#REF!),"")</f>
        <v>#REF!</v>
      </c>
      <c r="W22" s="22" t="e">
        <f>IF(AND('Mapa final'!#REF!="Alta",'Mapa final'!#REF!="Moderado"),CONCATENATE("R7C",'Mapa final'!#REF!),"")</f>
        <v>#REF!</v>
      </c>
      <c r="X22" s="22" t="e">
        <f>IF(AND('Mapa final'!#REF!="Alta",'Mapa final'!#REF!="Moderado"),CONCATENATE("R7C",'Mapa final'!#REF!),"")</f>
        <v>#REF!</v>
      </c>
      <c r="Y22" s="22" t="e">
        <f>IF(AND('Mapa final'!#REF!="Alta",'Mapa final'!#REF!="Moderado"),CONCATENATE("R7C",'Mapa final'!#REF!),"")</f>
        <v>#REF!</v>
      </c>
      <c r="Z22" s="22" t="e">
        <f>IF(AND('Mapa final'!#REF!="Alta",'Mapa final'!#REF!="Moderado"),CONCATENATE("R7C",'Mapa final'!#REF!),"")</f>
        <v>#REF!</v>
      </c>
      <c r="AA22" s="23" t="e">
        <f>IF(AND('Mapa final'!#REF!="Alta",'Mapa final'!#REF!="Moderado"),CONCATENATE("R7C",'Mapa final'!#REF!),"")</f>
        <v>#REF!</v>
      </c>
      <c r="AB22" s="21" t="e">
        <f>IF(AND('Mapa final'!#REF!="Alta",'Mapa final'!#REF!="Mayor"),CONCATENATE("R7C",'Mapa final'!#REF!),"")</f>
        <v>#REF!</v>
      </c>
      <c r="AC22" s="22" t="e">
        <f>IF(AND('Mapa final'!#REF!="Alta",'Mapa final'!#REF!="Mayor"),CONCATENATE("R7C",'Mapa final'!#REF!),"")</f>
        <v>#REF!</v>
      </c>
      <c r="AD22" s="22" t="e">
        <f>IF(AND('Mapa final'!#REF!="Alta",'Mapa final'!#REF!="Mayor"),CONCATENATE("R7C",'Mapa final'!#REF!),"")</f>
        <v>#REF!</v>
      </c>
      <c r="AE22" s="22" t="e">
        <f>IF(AND('Mapa final'!#REF!="Alta",'Mapa final'!#REF!="Mayor"),CONCATENATE("R7C",'Mapa final'!#REF!),"")</f>
        <v>#REF!</v>
      </c>
      <c r="AF22" s="22" t="e">
        <f>IF(AND('Mapa final'!#REF!="Alta",'Mapa final'!#REF!="Mayor"),CONCATENATE("R7C",'Mapa final'!#REF!),"")</f>
        <v>#REF!</v>
      </c>
      <c r="AG22" s="23" t="e">
        <f>IF(AND('Mapa final'!#REF!="Alta",'Mapa final'!#REF!="Mayor"),CONCATENATE("R7C",'Mapa final'!#REF!),"")</f>
        <v>#REF!</v>
      </c>
      <c r="AH22" s="24" t="e">
        <f>IF(AND('Mapa final'!#REF!="Alta",'Mapa final'!#REF!="Catastrófico"),CONCATENATE("R7C",'Mapa final'!#REF!),"")</f>
        <v>#REF!</v>
      </c>
      <c r="AI22" s="25" t="e">
        <f>IF(AND('Mapa final'!#REF!="Alta",'Mapa final'!#REF!="Catastrófico"),CONCATENATE("R7C",'Mapa final'!#REF!),"")</f>
        <v>#REF!</v>
      </c>
      <c r="AJ22" s="25" t="e">
        <f>IF(AND('Mapa final'!#REF!="Alta",'Mapa final'!#REF!="Catastrófico"),CONCATENATE("R7C",'Mapa final'!#REF!),"")</f>
        <v>#REF!</v>
      </c>
      <c r="AK22" s="25" t="e">
        <f>IF(AND('Mapa final'!#REF!="Alta",'Mapa final'!#REF!="Catastrófico"),CONCATENATE("R7C",'Mapa final'!#REF!),"")</f>
        <v>#REF!</v>
      </c>
      <c r="AL22" s="25" t="e">
        <f>IF(AND('Mapa final'!#REF!="Alta",'Mapa final'!#REF!="Catastrófico"),CONCATENATE("R7C",'Mapa final'!#REF!),"")</f>
        <v>#REF!</v>
      </c>
      <c r="AM22" s="26" t="e">
        <f>IF(AND('Mapa final'!#REF!="Alta",'Mapa final'!#REF!="Catastrófico"),CONCATENATE("R7C",'Mapa final'!#REF!),"")</f>
        <v>#REF!</v>
      </c>
      <c r="AN22" s="1"/>
      <c r="AO22" s="289"/>
      <c r="AP22" s="235"/>
      <c r="AQ22" s="235"/>
      <c r="AR22" s="235"/>
      <c r="AS22" s="235"/>
      <c r="AT22" s="290"/>
    </row>
    <row r="23" spans="2:46" ht="15" customHeight="1" x14ac:dyDescent="0.25">
      <c r="B23" s="280"/>
      <c r="C23" s="235"/>
      <c r="D23" s="236"/>
      <c r="E23" s="247"/>
      <c r="F23" s="235"/>
      <c r="G23" s="235"/>
      <c r="H23" s="235"/>
      <c r="I23" s="235"/>
      <c r="J23" s="36" t="e">
        <f>IF(AND('Mapa final'!#REF!="Alta",'Mapa final'!#REF!="Leve"),CONCATENATE("R8C",'Mapa final'!#REF!),"")</f>
        <v>#REF!</v>
      </c>
      <c r="K23" s="37" t="e">
        <f>IF(AND('Mapa final'!#REF!="Alta",'Mapa final'!#REF!="Leve"),CONCATENATE("R8C",'Mapa final'!#REF!),"")</f>
        <v>#REF!</v>
      </c>
      <c r="L23" s="37" t="e">
        <f>IF(AND('Mapa final'!#REF!="Alta",'Mapa final'!#REF!="Leve"),CONCATENATE("R8C",'Mapa final'!#REF!),"")</f>
        <v>#REF!</v>
      </c>
      <c r="M23" s="37" t="e">
        <f>IF(AND('Mapa final'!#REF!="Alta",'Mapa final'!#REF!="Leve"),CONCATENATE("R8C",'Mapa final'!#REF!),"")</f>
        <v>#REF!</v>
      </c>
      <c r="N23" s="37" t="e">
        <f>IF(AND('Mapa final'!#REF!="Alta",'Mapa final'!#REF!="Leve"),CONCATENATE("R8C",'Mapa final'!#REF!),"")</f>
        <v>#REF!</v>
      </c>
      <c r="O23" s="38" t="e">
        <f>IF(AND('Mapa final'!#REF!="Alta",'Mapa final'!#REF!="Leve"),CONCATENATE("R8C",'Mapa final'!#REF!),"")</f>
        <v>#REF!</v>
      </c>
      <c r="P23" s="36" t="e">
        <f>IF(AND('Mapa final'!#REF!="Alta",'Mapa final'!#REF!="Menor"),CONCATENATE("R8C",'Mapa final'!#REF!),"")</f>
        <v>#REF!</v>
      </c>
      <c r="Q23" s="37" t="e">
        <f>IF(AND('Mapa final'!#REF!="Alta",'Mapa final'!#REF!="Menor"),CONCATENATE("R8C",'Mapa final'!#REF!),"")</f>
        <v>#REF!</v>
      </c>
      <c r="R23" s="37" t="e">
        <f>IF(AND('Mapa final'!#REF!="Alta",'Mapa final'!#REF!="Menor"),CONCATENATE("R8C",'Mapa final'!#REF!),"")</f>
        <v>#REF!</v>
      </c>
      <c r="S23" s="37" t="e">
        <f>IF(AND('Mapa final'!#REF!="Alta",'Mapa final'!#REF!="Menor"),CONCATENATE("R8C",'Mapa final'!#REF!),"")</f>
        <v>#REF!</v>
      </c>
      <c r="T23" s="37" t="e">
        <f>IF(AND('Mapa final'!#REF!="Alta",'Mapa final'!#REF!="Menor"),CONCATENATE("R8C",'Mapa final'!#REF!),"")</f>
        <v>#REF!</v>
      </c>
      <c r="U23" s="38" t="e">
        <f>IF(AND('Mapa final'!#REF!="Alta",'Mapa final'!#REF!="Menor"),CONCATENATE("R8C",'Mapa final'!#REF!),"")</f>
        <v>#REF!</v>
      </c>
      <c r="V23" s="21" t="e">
        <f>IF(AND('Mapa final'!#REF!="Alta",'Mapa final'!#REF!="Moderado"),CONCATENATE("R8C",'Mapa final'!#REF!),"")</f>
        <v>#REF!</v>
      </c>
      <c r="W23" s="22" t="e">
        <f>IF(AND('Mapa final'!#REF!="Alta",'Mapa final'!#REF!="Moderado"),CONCATENATE("R8C",'Mapa final'!#REF!),"")</f>
        <v>#REF!</v>
      </c>
      <c r="X23" s="22" t="e">
        <f>IF(AND('Mapa final'!#REF!="Alta",'Mapa final'!#REF!="Moderado"),CONCATENATE("R8C",'Mapa final'!#REF!),"")</f>
        <v>#REF!</v>
      </c>
      <c r="Y23" s="22" t="e">
        <f>IF(AND('Mapa final'!#REF!="Alta",'Mapa final'!#REF!="Moderado"),CONCATENATE("R8C",'Mapa final'!#REF!),"")</f>
        <v>#REF!</v>
      </c>
      <c r="Z23" s="22" t="e">
        <f>IF(AND('Mapa final'!#REF!="Alta",'Mapa final'!#REF!="Moderado"),CONCATENATE("R8C",'Mapa final'!#REF!),"")</f>
        <v>#REF!</v>
      </c>
      <c r="AA23" s="23" t="e">
        <f>IF(AND('Mapa final'!#REF!="Alta",'Mapa final'!#REF!="Moderado"),CONCATENATE("R8C",'Mapa final'!#REF!),"")</f>
        <v>#REF!</v>
      </c>
      <c r="AB23" s="21" t="e">
        <f>IF(AND('Mapa final'!#REF!="Alta",'Mapa final'!#REF!="Mayor"),CONCATENATE("R8C",'Mapa final'!#REF!),"")</f>
        <v>#REF!</v>
      </c>
      <c r="AC23" s="22" t="e">
        <f>IF(AND('Mapa final'!#REF!="Alta",'Mapa final'!#REF!="Mayor"),CONCATENATE("R8C",'Mapa final'!#REF!),"")</f>
        <v>#REF!</v>
      </c>
      <c r="AD23" s="22" t="e">
        <f>IF(AND('Mapa final'!#REF!="Alta",'Mapa final'!#REF!="Mayor"),CONCATENATE("R8C",'Mapa final'!#REF!),"")</f>
        <v>#REF!</v>
      </c>
      <c r="AE23" s="22" t="e">
        <f>IF(AND('Mapa final'!#REF!="Alta",'Mapa final'!#REF!="Mayor"),CONCATENATE("R8C",'Mapa final'!#REF!),"")</f>
        <v>#REF!</v>
      </c>
      <c r="AF23" s="22" t="e">
        <f>IF(AND('Mapa final'!#REF!="Alta",'Mapa final'!#REF!="Mayor"),CONCATENATE("R8C",'Mapa final'!#REF!),"")</f>
        <v>#REF!</v>
      </c>
      <c r="AG23" s="23" t="e">
        <f>IF(AND('Mapa final'!#REF!="Alta",'Mapa final'!#REF!="Mayor"),CONCATENATE("R8C",'Mapa final'!#REF!),"")</f>
        <v>#REF!</v>
      </c>
      <c r="AH23" s="24" t="e">
        <f>IF(AND('Mapa final'!#REF!="Alta",'Mapa final'!#REF!="Catastrófico"),CONCATENATE("R8C",'Mapa final'!#REF!),"")</f>
        <v>#REF!</v>
      </c>
      <c r="AI23" s="25" t="e">
        <f>IF(AND('Mapa final'!#REF!="Alta",'Mapa final'!#REF!="Catastrófico"),CONCATENATE("R8C",'Mapa final'!#REF!),"")</f>
        <v>#REF!</v>
      </c>
      <c r="AJ23" s="25" t="e">
        <f>IF(AND('Mapa final'!#REF!="Alta",'Mapa final'!#REF!="Catastrófico"),CONCATENATE("R8C",'Mapa final'!#REF!),"")</f>
        <v>#REF!</v>
      </c>
      <c r="AK23" s="25" t="e">
        <f>IF(AND('Mapa final'!#REF!="Alta",'Mapa final'!#REF!="Catastrófico"),CONCATENATE("R8C",'Mapa final'!#REF!),"")</f>
        <v>#REF!</v>
      </c>
      <c r="AL23" s="25" t="e">
        <f>IF(AND('Mapa final'!#REF!="Alta",'Mapa final'!#REF!="Catastrófico"),CONCATENATE("R8C",'Mapa final'!#REF!),"")</f>
        <v>#REF!</v>
      </c>
      <c r="AM23" s="26" t="e">
        <f>IF(AND('Mapa final'!#REF!="Alta",'Mapa final'!#REF!="Catastrófico"),CONCATENATE("R8C",'Mapa final'!#REF!),"")</f>
        <v>#REF!</v>
      </c>
      <c r="AN23" s="1"/>
      <c r="AO23" s="289"/>
      <c r="AP23" s="235"/>
      <c r="AQ23" s="235"/>
      <c r="AR23" s="235"/>
      <c r="AS23" s="235"/>
      <c r="AT23" s="290"/>
    </row>
    <row r="24" spans="2:46" ht="15" customHeight="1" x14ac:dyDescent="0.25">
      <c r="B24" s="280"/>
      <c r="C24" s="235"/>
      <c r="D24" s="236"/>
      <c r="E24" s="247"/>
      <c r="F24" s="235"/>
      <c r="G24" s="235"/>
      <c r="H24" s="235"/>
      <c r="I24" s="235"/>
      <c r="J24" s="36" t="e">
        <f>IF(AND('Mapa final'!#REF!="Alta",'Mapa final'!#REF!="Leve"),CONCATENATE("R9C",'Mapa final'!#REF!),"")</f>
        <v>#REF!</v>
      </c>
      <c r="K24" s="37" t="e">
        <f>IF(AND('Mapa final'!#REF!="Alta",'Mapa final'!#REF!="Leve"),CONCATENATE("R9C",'Mapa final'!#REF!),"")</f>
        <v>#REF!</v>
      </c>
      <c r="L24" s="37" t="e">
        <f>IF(AND('Mapa final'!#REF!="Alta",'Mapa final'!#REF!="Leve"),CONCATENATE("R9C",'Mapa final'!#REF!),"")</f>
        <v>#REF!</v>
      </c>
      <c r="M24" s="37" t="e">
        <f>IF(AND('Mapa final'!#REF!="Alta",'Mapa final'!#REF!="Leve"),CONCATENATE("R9C",'Mapa final'!#REF!),"")</f>
        <v>#REF!</v>
      </c>
      <c r="N24" s="37" t="e">
        <f>IF(AND('Mapa final'!#REF!="Alta",'Mapa final'!#REF!="Leve"),CONCATENATE("R9C",'Mapa final'!#REF!),"")</f>
        <v>#REF!</v>
      </c>
      <c r="O24" s="38" t="e">
        <f>IF(AND('Mapa final'!#REF!="Alta",'Mapa final'!#REF!="Leve"),CONCATENATE("R9C",'Mapa final'!#REF!),"")</f>
        <v>#REF!</v>
      </c>
      <c r="P24" s="36" t="e">
        <f>IF(AND('Mapa final'!#REF!="Alta",'Mapa final'!#REF!="Menor"),CONCATENATE("R9C",'Mapa final'!#REF!),"")</f>
        <v>#REF!</v>
      </c>
      <c r="Q24" s="37" t="e">
        <f>IF(AND('Mapa final'!#REF!="Alta",'Mapa final'!#REF!="Menor"),CONCATENATE("R9C",'Mapa final'!#REF!),"")</f>
        <v>#REF!</v>
      </c>
      <c r="R24" s="37" t="e">
        <f>IF(AND('Mapa final'!#REF!="Alta",'Mapa final'!#REF!="Menor"),CONCATENATE("R9C",'Mapa final'!#REF!),"")</f>
        <v>#REF!</v>
      </c>
      <c r="S24" s="37" t="e">
        <f>IF(AND('Mapa final'!#REF!="Alta",'Mapa final'!#REF!="Menor"),CONCATENATE("R9C",'Mapa final'!#REF!),"")</f>
        <v>#REF!</v>
      </c>
      <c r="T24" s="37" t="e">
        <f>IF(AND('Mapa final'!#REF!="Alta",'Mapa final'!#REF!="Menor"),CONCATENATE("R9C",'Mapa final'!#REF!),"")</f>
        <v>#REF!</v>
      </c>
      <c r="U24" s="38" t="e">
        <f>IF(AND('Mapa final'!#REF!="Alta",'Mapa final'!#REF!="Menor"),CONCATENATE("R9C",'Mapa final'!#REF!),"")</f>
        <v>#REF!</v>
      </c>
      <c r="V24" s="21" t="e">
        <f>IF(AND('Mapa final'!#REF!="Alta",'Mapa final'!#REF!="Moderado"),CONCATENATE("R9C",'Mapa final'!#REF!),"")</f>
        <v>#REF!</v>
      </c>
      <c r="W24" s="22" t="e">
        <f>IF(AND('Mapa final'!#REF!="Alta",'Mapa final'!#REF!="Moderado"),CONCATENATE("R9C",'Mapa final'!#REF!),"")</f>
        <v>#REF!</v>
      </c>
      <c r="X24" s="22" t="e">
        <f>IF(AND('Mapa final'!#REF!="Alta",'Mapa final'!#REF!="Moderado"),CONCATENATE("R9C",'Mapa final'!#REF!),"")</f>
        <v>#REF!</v>
      </c>
      <c r="Y24" s="22" t="e">
        <f>IF(AND('Mapa final'!#REF!="Alta",'Mapa final'!#REF!="Moderado"),CONCATENATE("R9C",'Mapa final'!#REF!),"")</f>
        <v>#REF!</v>
      </c>
      <c r="Z24" s="22" t="e">
        <f>IF(AND('Mapa final'!#REF!="Alta",'Mapa final'!#REF!="Moderado"),CONCATENATE("R9C",'Mapa final'!#REF!),"")</f>
        <v>#REF!</v>
      </c>
      <c r="AA24" s="23" t="e">
        <f>IF(AND('Mapa final'!#REF!="Alta",'Mapa final'!#REF!="Moderado"),CONCATENATE("R9C",'Mapa final'!#REF!),"")</f>
        <v>#REF!</v>
      </c>
      <c r="AB24" s="21" t="e">
        <f>IF(AND('Mapa final'!#REF!="Alta",'Mapa final'!#REF!="Mayor"),CONCATENATE("R9C",'Mapa final'!#REF!),"")</f>
        <v>#REF!</v>
      </c>
      <c r="AC24" s="22" t="e">
        <f>IF(AND('Mapa final'!#REF!="Alta",'Mapa final'!#REF!="Mayor"),CONCATENATE("R9C",'Mapa final'!#REF!),"")</f>
        <v>#REF!</v>
      </c>
      <c r="AD24" s="22" t="e">
        <f>IF(AND('Mapa final'!#REF!="Alta",'Mapa final'!#REF!="Mayor"),CONCATENATE("R9C",'Mapa final'!#REF!),"")</f>
        <v>#REF!</v>
      </c>
      <c r="AE24" s="22" t="e">
        <f>IF(AND('Mapa final'!#REF!="Alta",'Mapa final'!#REF!="Mayor"),CONCATENATE("R9C",'Mapa final'!#REF!),"")</f>
        <v>#REF!</v>
      </c>
      <c r="AF24" s="22" t="e">
        <f>IF(AND('Mapa final'!#REF!="Alta",'Mapa final'!#REF!="Mayor"),CONCATENATE("R9C",'Mapa final'!#REF!),"")</f>
        <v>#REF!</v>
      </c>
      <c r="AG24" s="23" t="e">
        <f>IF(AND('Mapa final'!#REF!="Alta",'Mapa final'!#REF!="Mayor"),CONCATENATE("R9C",'Mapa final'!#REF!),"")</f>
        <v>#REF!</v>
      </c>
      <c r="AH24" s="24" t="e">
        <f>IF(AND('Mapa final'!#REF!="Alta",'Mapa final'!#REF!="Catastrófico"),CONCATENATE("R9C",'Mapa final'!#REF!),"")</f>
        <v>#REF!</v>
      </c>
      <c r="AI24" s="25" t="e">
        <f>IF(AND('Mapa final'!#REF!="Alta",'Mapa final'!#REF!="Catastrófico"),CONCATENATE("R9C",'Mapa final'!#REF!),"")</f>
        <v>#REF!</v>
      </c>
      <c r="AJ24" s="25" t="e">
        <f>IF(AND('Mapa final'!#REF!="Alta",'Mapa final'!#REF!="Catastrófico"),CONCATENATE("R9C",'Mapa final'!#REF!),"")</f>
        <v>#REF!</v>
      </c>
      <c r="AK24" s="25" t="e">
        <f>IF(AND('Mapa final'!#REF!="Alta",'Mapa final'!#REF!="Catastrófico"),CONCATENATE("R9C",'Mapa final'!#REF!),"")</f>
        <v>#REF!</v>
      </c>
      <c r="AL24" s="25" t="e">
        <f>IF(AND('Mapa final'!#REF!="Alta",'Mapa final'!#REF!="Catastrófico"),CONCATENATE("R9C",'Mapa final'!#REF!),"")</f>
        <v>#REF!</v>
      </c>
      <c r="AM24" s="26" t="e">
        <f>IF(AND('Mapa final'!#REF!="Alta",'Mapa final'!#REF!="Catastrófico"),CONCATENATE("R9C",'Mapa final'!#REF!),"")</f>
        <v>#REF!</v>
      </c>
      <c r="AN24" s="1"/>
      <c r="AO24" s="289"/>
      <c r="AP24" s="235"/>
      <c r="AQ24" s="235"/>
      <c r="AR24" s="235"/>
      <c r="AS24" s="235"/>
      <c r="AT24" s="290"/>
    </row>
    <row r="25" spans="2:46" ht="15.75" customHeight="1" x14ac:dyDescent="0.25">
      <c r="B25" s="280"/>
      <c r="C25" s="235"/>
      <c r="D25" s="236"/>
      <c r="E25" s="270"/>
      <c r="F25" s="271"/>
      <c r="G25" s="271"/>
      <c r="H25" s="271"/>
      <c r="I25" s="271"/>
      <c r="J25" s="39" t="e">
        <f>IF(AND('Mapa final'!#REF!="Alta",'Mapa final'!#REF!="Leve"),CONCATENATE("R10C",'Mapa final'!#REF!),"")</f>
        <v>#REF!</v>
      </c>
      <c r="K25" s="40" t="e">
        <f>IF(AND('Mapa final'!#REF!="Alta",'Mapa final'!#REF!="Leve"),CONCATENATE("R10C",'Mapa final'!#REF!),"")</f>
        <v>#REF!</v>
      </c>
      <c r="L25" s="40" t="e">
        <f>IF(AND('Mapa final'!#REF!="Alta",'Mapa final'!#REF!="Leve"),CONCATENATE("R10C",'Mapa final'!#REF!),"")</f>
        <v>#REF!</v>
      </c>
      <c r="M25" s="40" t="e">
        <f>IF(AND('Mapa final'!#REF!="Alta",'Mapa final'!#REF!="Leve"),CONCATENATE("R10C",'Mapa final'!#REF!),"")</f>
        <v>#REF!</v>
      </c>
      <c r="N25" s="40" t="e">
        <f>IF(AND('Mapa final'!#REF!="Alta",'Mapa final'!#REF!="Leve"),CONCATENATE("R10C",'Mapa final'!#REF!),"")</f>
        <v>#REF!</v>
      </c>
      <c r="O25" s="41" t="e">
        <f>IF(AND('Mapa final'!#REF!="Alta",'Mapa final'!#REF!="Leve"),CONCATENATE("R10C",'Mapa final'!#REF!),"")</f>
        <v>#REF!</v>
      </c>
      <c r="P25" s="39" t="e">
        <f>IF(AND('Mapa final'!#REF!="Alta",'Mapa final'!#REF!="Menor"),CONCATENATE("R10C",'Mapa final'!#REF!),"")</f>
        <v>#REF!</v>
      </c>
      <c r="Q25" s="40" t="e">
        <f>IF(AND('Mapa final'!#REF!="Alta",'Mapa final'!#REF!="Menor"),CONCATENATE("R10C",'Mapa final'!#REF!),"")</f>
        <v>#REF!</v>
      </c>
      <c r="R25" s="40" t="e">
        <f>IF(AND('Mapa final'!#REF!="Alta",'Mapa final'!#REF!="Menor"),CONCATENATE("R10C",'Mapa final'!#REF!),"")</f>
        <v>#REF!</v>
      </c>
      <c r="S25" s="40" t="e">
        <f>IF(AND('Mapa final'!#REF!="Alta",'Mapa final'!#REF!="Menor"),CONCATENATE("R10C",'Mapa final'!#REF!),"")</f>
        <v>#REF!</v>
      </c>
      <c r="T25" s="40" t="e">
        <f>IF(AND('Mapa final'!#REF!="Alta",'Mapa final'!#REF!="Menor"),CONCATENATE("R10C",'Mapa final'!#REF!),"")</f>
        <v>#REF!</v>
      </c>
      <c r="U25" s="41" t="e">
        <f>IF(AND('Mapa final'!#REF!="Alta",'Mapa final'!#REF!="Menor"),CONCATENATE("R10C",'Mapa final'!#REF!),"")</f>
        <v>#REF!</v>
      </c>
      <c r="V25" s="27" t="e">
        <f>IF(AND('Mapa final'!#REF!="Alta",'Mapa final'!#REF!="Moderado"),CONCATENATE("R10C",'Mapa final'!#REF!),"")</f>
        <v>#REF!</v>
      </c>
      <c r="W25" s="28" t="e">
        <f>IF(AND('Mapa final'!#REF!="Alta",'Mapa final'!#REF!="Moderado"),CONCATENATE("R10C",'Mapa final'!#REF!),"")</f>
        <v>#REF!</v>
      </c>
      <c r="X25" s="28" t="e">
        <f>IF(AND('Mapa final'!#REF!="Alta",'Mapa final'!#REF!="Moderado"),CONCATENATE("R10C",'Mapa final'!#REF!),"")</f>
        <v>#REF!</v>
      </c>
      <c r="Y25" s="28" t="e">
        <f>IF(AND('Mapa final'!#REF!="Alta",'Mapa final'!#REF!="Moderado"),CONCATENATE("R10C",'Mapa final'!#REF!),"")</f>
        <v>#REF!</v>
      </c>
      <c r="Z25" s="28" t="e">
        <f>IF(AND('Mapa final'!#REF!="Alta",'Mapa final'!#REF!="Moderado"),CONCATENATE("R10C",'Mapa final'!#REF!),"")</f>
        <v>#REF!</v>
      </c>
      <c r="AA25" s="29" t="e">
        <f>IF(AND('Mapa final'!#REF!="Alta",'Mapa final'!#REF!="Moderado"),CONCATENATE("R10C",'Mapa final'!#REF!),"")</f>
        <v>#REF!</v>
      </c>
      <c r="AB25" s="27" t="e">
        <f>IF(AND('Mapa final'!#REF!="Alta",'Mapa final'!#REF!="Mayor"),CONCATENATE("R10C",'Mapa final'!#REF!),"")</f>
        <v>#REF!</v>
      </c>
      <c r="AC25" s="28" t="e">
        <f>IF(AND('Mapa final'!#REF!="Alta",'Mapa final'!#REF!="Mayor"),CONCATENATE("R10C",'Mapa final'!#REF!),"")</f>
        <v>#REF!</v>
      </c>
      <c r="AD25" s="28" t="e">
        <f>IF(AND('Mapa final'!#REF!="Alta",'Mapa final'!#REF!="Mayor"),CONCATENATE("R10C",'Mapa final'!#REF!),"")</f>
        <v>#REF!</v>
      </c>
      <c r="AE25" s="28" t="e">
        <f>IF(AND('Mapa final'!#REF!="Alta",'Mapa final'!#REF!="Mayor"),CONCATENATE("R10C",'Mapa final'!#REF!),"")</f>
        <v>#REF!</v>
      </c>
      <c r="AF25" s="28" t="e">
        <f>IF(AND('Mapa final'!#REF!="Alta",'Mapa final'!#REF!="Mayor"),CONCATENATE("R10C",'Mapa final'!#REF!),"")</f>
        <v>#REF!</v>
      </c>
      <c r="AG25" s="29" t="e">
        <f>IF(AND('Mapa final'!#REF!="Alta",'Mapa final'!#REF!="Mayor"),CONCATENATE("R10C",'Mapa final'!#REF!),"")</f>
        <v>#REF!</v>
      </c>
      <c r="AH25" s="30" t="e">
        <f>IF(AND('Mapa final'!#REF!="Alta",'Mapa final'!#REF!="Catastrófico"),CONCATENATE("R10C",'Mapa final'!#REF!),"")</f>
        <v>#REF!</v>
      </c>
      <c r="AI25" s="31" t="e">
        <f>IF(AND('Mapa final'!#REF!="Alta",'Mapa final'!#REF!="Catastrófico"),CONCATENATE("R10C",'Mapa final'!#REF!),"")</f>
        <v>#REF!</v>
      </c>
      <c r="AJ25" s="31" t="e">
        <f>IF(AND('Mapa final'!#REF!="Alta",'Mapa final'!#REF!="Catastrófico"),CONCATENATE("R10C",'Mapa final'!#REF!),"")</f>
        <v>#REF!</v>
      </c>
      <c r="AK25" s="31" t="e">
        <f>IF(AND('Mapa final'!#REF!="Alta",'Mapa final'!#REF!="Catastrófico"),CONCATENATE("R10C",'Mapa final'!#REF!),"")</f>
        <v>#REF!</v>
      </c>
      <c r="AL25" s="31" t="e">
        <f>IF(AND('Mapa final'!#REF!="Alta",'Mapa final'!#REF!="Catastrófico"),CONCATENATE("R10C",'Mapa final'!#REF!),"")</f>
        <v>#REF!</v>
      </c>
      <c r="AM25" s="32" t="e">
        <f>IF(AND('Mapa final'!#REF!="Alta",'Mapa final'!#REF!="Catastrófico"),CONCATENATE("R10C",'Mapa final'!#REF!),"")</f>
        <v>#REF!</v>
      </c>
      <c r="AN25" s="1"/>
      <c r="AO25" s="291"/>
      <c r="AP25" s="292"/>
      <c r="AQ25" s="292"/>
      <c r="AR25" s="292"/>
      <c r="AS25" s="292"/>
      <c r="AT25" s="293"/>
    </row>
    <row r="26" spans="2:46" ht="15" customHeight="1" x14ac:dyDescent="0.25">
      <c r="B26" s="280"/>
      <c r="C26" s="235"/>
      <c r="D26" s="236"/>
      <c r="E26" s="298" t="s">
        <v>99</v>
      </c>
      <c r="F26" s="269"/>
      <c r="G26" s="269"/>
      <c r="H26" s="269"/>
      <c r="I26" s="255"/>
      <c r="J26" s="33" t="str">
        <f>IF(AND('Mapa final'!$Y$16="Media",'Mapa final'!$AA$16="Leve"),CONCATENATE("R1C",'Mapa final'!$O$16),"")</f>
        <v/>
      </c>
      <c r="K26" s="34" t="str">
        <f>IF(AND('Mapa final'!$Y$17="Media",'Mapa final'!$AA$17="Leve"),CONCATENATE("R1C",'Mapa final'!$O$17),"")</f>
        <v/>
      </c>
      <c r="L26" s="34" t="str">
        <f>IF(AND('Mapa final'!$Y$18="Media",'Mapa final'!$AA$18="Leve"),CONCATENATE("R1C",'Mapa final'!$O$18),"")</f>
        <v/>
      </c>
      <c r="M26" s="34" t="e">
        <f>IF(AND('Mapa final'!#REF!="Media",'Mapa final'!#REF!="Leve"),CONCATENATE("R1C",'Mapa final'!#REF!),"")</f>
        <v>#REF!</v>
      </c>
      <c r="N26" s="34" t="e">
        <f>IF(AND('Mapa final'!#REF!="Media",'Mapa final'!#REF!="Leve"),CONCATENATE("R1C",'Mapa final'!#REF!),"")</f>
        <v>#REF!</v>
      </c>
      <c r="O26" s="35" t="e">
        <f>IF(AND('Mapa final'!#REF!="Media",'Mapa final'!#REF!="Leve"),CONCATENATE("R1C",'Mapa final'!#REF!),"")</f>
        <v>#REF!</v>
      </c>
      <c r="P26" s="33" t="str">
        <f>IF(AND('Mapa final'!$Y$16="Media",'Mapa final'!$AA$16="Menor"),CONCATENATE("R1C",'Mapa final'!$O$16),"")</f>
        <v/>
      </c>
      <c r="Q26" s="34" t="str">
        <f>IF(AND('Mapa final'!$Y$17="Media",'Mapa final'!$AA$17="Menor"),CONCATENATE("R1C",'Mapa final'!$O$17),"")</f>
        <v/>
      </c>
      <c r="R26" s="34" t="str">
        <f>IF(AND('Mapa final'!$Y$18="Media",'Mapa final'!$AA$18="Menor"),CONCATENATE("R1C",'Mapa final'!$O$18),"")</f>
        <v/>
      </c>
      <c r="S26" s="34" t="e">
        <f>IF(AND('Mapa final'!#REF!="Media",'Mapa final'!#REF!="Menor"),CONCATENATE("R1C",'Mapa final'!#REF!),"")</f>
        <v>#REF!</v>
      </c>
      <c r="T26" s="34" t="e">
        <f>IF(AND('Mapa final'!#REF!="Media",'Mapa final'!#REF!="Menor"),CONCATENATE("R1C",'Mapa final'!#REF!),"")</f>
        <v>#REF!</v>
      </c>
      <c r="U26" s="35" t="e">
        <f>IF(AND('Mapa final'!#REF!="Media",'Mapa final'!#REF!="Menor"),CONCATENATE("R1C",'Mapa final'!#REF!),"")</f>
        <v>#REF!</v>
      </c>
      <c r="V26" s="33" t="str">
        <f>IF(AND('Mapa final'!$Y$16="Media",'Mapa final'!$AA$16="Moderado"),CONCATENATE("R1C",'Mapa final'!$O$16),"")</f>
        <v/>
      </c>
      <c r="W26" s="34" t="str">
        <f>IF(AND('Mapa final'!$Y$17="Media",'Mapa final'!$AA$17="Moderado"),CONCATENATE("R1C",'Mapa final'!$O$17),"")</f>
        <v/>
      </c>
      <c r="X26" s="34" t="str">
        <f>IF(AND('Mapa final'!$Y$18="Media",'Mapa final'!$AA$18="Moderado"),CONCATENATE("R1C",'Mapa final'!$O$18),"")</f>
        <v/>
      </c>
      <c r="Y26" s="34" t="e">
        <f>IF(AND('Mapa final'!#REF!="Media",'Mapa final'!#REF!="Moderado"),CONCATENATE("R1C",'Mapa final'!#REF!),"")</f>
        <v>#REF!</v>
      </c>
      <c r="Z26" s="34" t="e">
        <f>IF(AND('Mapa final'!#REF!="Media",'Mapa final'!#REF!="Moderado"),CONCATENATE("R1C",'Mapa final'!#REF!),"")</f>
        <v>#REF!</v>
      </c>
      <c r="AA26" s="35" t="e">
        <f>IF(AND('Mapa final'!#REF!="Media",'Mapa final'!#REF!="Moderado"),CONCATENATE("R1C",'Mapa final'!#REF!),"")</f>
        <v>#REF!</v>
      </c>
      <c r="AB26" s="15" t="str">
        <f>IF(AND('Mapa final'!$Y$16="Media",'Mapa final'!$AA$16="Mayor"),CONCATENATE("R1C",'Mapa final'!$O$16),"")</f>
        <v/>
      </c>
      <c r="AC26" s="16" t="str">
        <f>IF(AND('Mapa final'!$Y$17="Media",'Mapa final'!$AA$17="Mayor"),CONCATENATE("R1C",'Mapa final'!$O$17),"")</f>
        <v/>
      </c>
      <c r="AD26" s="16" t="str">
        <f>IF(AND('Mapa final'!$Y$18="Media",'Mapa final'!$AA$18="Mayor"),CONCATENATE("R1C",'Mapa final'!$O$18),"")</f>
        <v/>
      </c>
      <c r="AE26" s="16" t="e">
        <f>IF(AND('Mapa final'!#REF!="Media",'Mapa final'!#REF!="Mayor"),CONCATENATE("R1C",'Mapa final'!#REF!),"")</f>
        <v>#REF!</v>
      </c>
      <c r="AF26" s="16" t="e">
        <f>IF(AND('Mapa final'!#REF!="Media",'Mapa final'!#REF!="Mayor"),CONCATENATE("R1C",'Mapa final'!#REF!),"")</f>
        <v>#REF!</v>
      </c>
      <c r="AG26" s="17" t="e">
        <f>IF(AND('Mapa final'!#REF!="Media",'Mapa final'!#REF!="Mayor"),CONCATENATE("R1C",'Mapa final'!#REF!),"")</f>
        <v>#REF!</v>
      </c>
      <c r="AH26" s="18" t="str">
        <f>IF(AND('Mapa final'!$Y$16="Media",'Mapa final'!$AA$16="Catastrófico"),CONCATENATE("R1C",'Mapa final'!$O$16),"")</f>
        <v/>
      </c>
      <c r="AI26" s="19" t="str">
        <f>IF(AND('Mapa final'!$Y$17="Media",'Mapa final'!$AA$17="Catastrófico"),CONCATENATE("R1C",'Mapa final'!$O$17),"")</f>
        <v/>
      </c>
      <c r="AJ26" s="19" t="str">
        <f>IF(AND('Mapa final'!$Y$18="Media",'Mapa final'!$AA$18="Catastrófico"),CONCATENATE("R1C",'Mapa final'!$O$18),"")</f>
        <v/>
      </c>
      <c r="AK26" s="19" t="e">
        <f>IF(AND('Mapa final'!#REF!="Media",'Mapa final'!#REF!="Catastrófico"),CONCATENATE("R1C",'Mapa final'!#REF!),"")</f>
        <v>#REF!</v>
      </c>
      <c r="AL26" s="19" t="e">
        <f>IF(AND('Mapa final'!#REF!="Media",'Mapa final'!#REF!="Catastrófico"),CONCATENATE("R1C",'Mapa final'!#REF!),"")</f>
        <v>#REF!</v>
      </c>
      <c r="AM26" s="20" t="e">
        <f>IF(AND('Mapa final'!#REF!="Media",'Mapa final'!#REF!="Catastrófico"),CONCATENATE("R1C",'Mapa final'!#REF!),"")</f>
        <v>#REF!</v>
      </c>
      <c r="AN26" s="1"/>
      <c r="AO26" s="300" t="s">
        <v>100</v>
      </c>
      <c r="AP26" s="287"/>
      <c r="AQ26" s="287"/>
      <c r="AR26" s="287"/>
      <c r="AS26" s="287"/>
      <c r="AT26" s="288"/>
    </row>
    <row r="27" spans="2:46" ht="15" customHeight="1" x14ac:dyDescent="0.25">
      <c r="B27" s="280"/>
      <c r="C27" s="235"/>
      <c r="D27" s="236"/>
      <c r="E27" s="247"/>
      <c r="F27" s="235"/>
      <c r="G27" s="235"/>
      <c r="H27" s="235"/>
      <c r="I27" s="236"/>
      <c r="J27" s="36" t="str">
        <f>IF(AND('Mapa final'!$Y$21="Media",'Mapa final'!$AA$21="Leve"),CONCATENATE("R2C",'Mapa final'!$O$21),"")</f>
        <v/>
      </c>
      <c r="K27" s="37" t="e">
        <f>IF(AND('Mapa final'!#REF!="Media",'Mapa final'!#REF!="Leve"),CONCATENATE("R2C",'Mapa final'!#REF!),"")</f>
        <v>#REF!</v>
      </c>
      <c r="L27" s="37" t="e">
        <f>IF(AND('Mapa final'!#REF!="Media",'Mapa final'!#REF!="Leve"),CONCATENATE("R2C",'Mapa final'!#REF!),"")</f>
        <v>#REF!</v>
      </c>
      <c r="M27" s="37" t="e">
        <f>IF(AND('Mapa final'!#REF!="Media",'Mapa final'!#REF!="Leve"),CONCATENATE("R2C",'Mapa final'!#REF!),"")</f>
        <v>#REF!</v>
      </c>
      <c r="N27" s="37" t="str">
        <f>IF(AND('Mapa final'!$Y$22="Media",'Mapa final'!$AA$22="Leve"),CONCATENATE("R2C",'Mapa final'!$O$22),"")</f>
        <v/>
      </c>
      <c r="O27" s="38" t="str">
        <f>IF(AND('Mapa final'!$Y$23="Media",'Mapa final'!$AA$23="Leve"),CONCATENATE("R2C",'Mapa final'!$O$23),"")</f>
        <v/>
      </c>
      <c r="P27" s="36" t="str">
        <f>IF(AND('Mapa final'!$Y$21="Media",'Mapa final'!$AA$21="Menor"),CONCATENATE("R2C",'Mapa final'!$O$21),"")</f>
        <v/>
      </c>
      <c r="Q27" s="37" t="e">
        <f>IF(AND('Mapa final'!#REF!="Media",'Mapa final'!#REF!="Menor"),CONCATENATE("R2C",'Mapa final'!#REF!),"")</f>
        <v>#REF!</v>
      </c>
      <c r="R27" s="37" t="e">
        <f>IF(AND('Mapa final'!#REF!="Media",'Mapa final'!#REF!="Menor"),CONCATENATE("R2C",'Mapa final'!#REF!),"")</f>
        <v>#REF!</v>
      </c>
      <c r="S27" s="37" t="e">
        <f>IF(AND('Mapa final'!#REF!="Media",'Mapa final'!#REF!="Menor"),CONCATENATE("R2C",'Mapa final'!#REF!),"")</f>
        <v>#REF!</v>
      </c>
      <c r="T27" s="37" t="str">
        <f>IF(AND('Mapa final'!$Y$22="Media",'Mapa final'!$AA$22="Menor"),CONCATENATE("R2C",'Mapa final'!$O$22),"")</f>
        <v/>
      </c>
      <c r="U27" s="38" t="str">
        <f>IF(AND('Mapa final'!$Y$23="Media",'Mapa final'!$AA$23="Menor"),CONCATENATE("R2C",'Mapa final'!$O$23),"")</f>
        <v/>
      </c>
      <c r="V27" s="36" t="str">
        <f>IF(AND('Mapa final'!$Y$21="Media",'Mapa final'!$AA$21="Moderado"),CONCATENATE("R2C",'Mapa final'!$O$21),"")</f>
        <v>R2C1</v>
      </c>
      <c r="W27" s="37" t="e">
        <f>IF(AND('Mapa final'!#REF!="Media",'Mapa final'!#REF!="Moderado"),CONCATENATE("R2C",'Mapa final'!#REF!),"")</f>
        <v>#REF!</v>
      </c>
      <c r="X27" s="37" t="e">
        <f>IF(AND('Mapa final'!#REF!="Media",'Mapa final'!#REF!="Moderado"),CONCATENATE("R2C",'Mapa final'!#REF!),"")</f>
        <v>#REF!</v>
      </c>
      <c r="Y27" s="37" t="e">
        <f>IF(AND('Mapa final'!#REF!="Media",'Mapa final'!#REF!="Moderado"),CONCATENATE("R2C",'Mapa final'!#REF!),"")</f>
        <v>#REF!</v>
      </c>
      <c r="Z27" s="37" t="str">
        <f>IF(AND('Mapa final'!$Y$22="Media",'Mapa final'!$AA$22="Moderado"),CONCATENATE("R2C",'Mapa final'!$O$22),"")</f>
        <v/>
      </c>
      <c r="AA27" s="38" t="str">
        <f>IF(AND('Mapa final'!$Y$23="Media",'Mapa final'!$AA$23="Moderado"),CONCATENATE("R2C",'Mapa final'!$O$23),"")</f>
        <v/>
      </c>
      <c r="AB27" s="21" t="str">
        <f>IF(AND('Mapa final'!$Y$21="Media",'Mapa final'!$AA$21="Mayor"),CONCATENATE("R2C",'Mapa final'!$O$21),"")</f>
        <v/>
      </c>
      <c r="AC27" s="22" t="e">
        <f>IF(AND('Mapa final'!#REF!="Media",'Mapa final'!#REF!="Mayor"),CONCATENATE("R2C",'Mapa final'!#REF!),"")</f>
        <v>#REF!</v>
      </c>
      <c r="AD27" s="22" t="e">
        <f>IF(AND('Mapa final'!#REF!="Media",'Mapa final'!#REF!="Mayor"),CONCATENATE("R2C",'Mapa final'!#REF!),"")</f>
        <v>#REF!</v>
      </c>
      <c r="AE27" s="22" t="e">
        <f>IF(AND('Mapa final'!#REF!="Media",'Mapa final'!#REF!="Mayor"),CONCATENATE("R2C",'Mapa final'!#REF!),"")</f>
        <v>#REF!</v>
      </c>
      <c r="AF27" s="22" t="str">
        <f>IF(AND('Mapa final'!$Y$22="Media",'Mapa final'!$AA$22="Mayor"),CONCATENATE("R2C",'Mapa final'!$O$22),"")</f>
        <v/>
      </c>
      <c r="AG27" s="23" t="str">
        <f>IF(AND('Mapa final'!$Y$23="Media",'Mapa final'!$AA$23="Mayor"),CONCATENATE("R2C",'Mapa final'!$O$23),"")</f>
        <v/>
      </c>
      <c r="AH27" s="24" t="str">
        <f>IF(AND('Mapa final'!$Y$21="Media",'Mapa final'!$AA$21="Catastrófico"),CONCATENATE("R2C",'Mapa final'!$O$21),"")</f>
        <v/>
      </c>
      <c r="AI27" s="25" t="e">
        <f>IF(AND('Mapa final'!#REF!="Media",'Mapa final'!#REF!="Catastrófico"),CONCATENATE("R2C",'Mapa final'!#REF!),"")</f>
        <v>#REF!</v>
      </c>
      <c r="AJ27" s="25" t="e">
        <f>IF(AND('Mapa final'!#REF!="Media",'Mapa final'!#REF!="Catastrófico"),CONCATENATE("R2C",'Mapa final'!#REF!),"")</f>
        <v>#REF!</v>
      </c>
      <c r="AK27" s="25" t="e">
        <f>IF(AND('Mapa final'!#REF!="Media",'Mapa final'!#REF!="Catastrófico"),CONCATENATE("R2C",'Mapa final'!#REF!),"")</f>
        <v>#REF!</v>
      </c>
      <c r="AL27" s="25" t="str">
        <f>IF(AND('Mapa final'!$Y$22="Media",'Mapa final'!$AA$22="Catastrófico"),CONCATENATE("R2C",'Mapa final'!$O$22),"")</f>
        <v/>
      </c>
      <c r="AM27" s="26" t="str">
        <f>IF(AND('Mapa final'!$Y$23="Media",'Mapa final'!$AA$23="Catastrófico"),CONCATENATE("R2C",'Mapa final'!$O$23),"")</f>
        <v/>
      </c>
      <c r="AN27" s="1"/>
      <c r="AO27" s="289"/>
      <c r="AP27" s="235"/>
      <c r="AQ27" s="235"/>
      <c r="AR27" s="235"/>
      <c r="AS27" s="235"/>
      <c r="AT27" s="290"/>
    </row>
    <row r="28" spans="2:46" ht="15" customHeight="1" x14ac:dyDescent="0.25">
      <c r="B28" s="280"/>
      <c r="C28" s="235"/>
      <c r="D28" s="236"/>
      <c r="E28" s="247"/>
      <c r="F28" s="235"/>
      <c r="G28" s="235"/>
      <c r="H28" s="235"/>
      <c r="I28" s="236"/>
      <c r="J28" s="36" t="str">
        <f>IF(AND('Mapa final'!$Y$26="Media",'Mapa final'!$AA$26="Leve"),CONCATENATE("R3C",'Mapa final'!$O$26),"")</f>
        <v/>
      </c>
      <c r="K28" s="37" t="str">
        <f>IF(AND('Mapa final'!$Y$27="Media",'Mapa final'!$AA$27="Leve"),CONCATENATE("R3C",'Mapa final'!$O$27),"")</f>
        <v/>
      </c>
      <c r="L28" s="37" t="str">
        <f>IF(AND('Mapa final'!$Y$28="Media",'Mapa final'!$AA$28="Leve"),CONCATENATE("R3C",'Mapa final'!$O$28),"")</f>
        <v/>
      </c>
      <c r="M28" s="37" t="e">
        <f>IF(AND('Mapa final'!#REF!="Media",'Mapa final'!#REF!="Leve"),CONCATENATE("R3C",'Mapa final'!#REF!),"")</f>
        <v>#REF!</v>
      </c>
      <c r="N28" s="37" t="e">
        <f>IF(AND('Mapa final'!#REF!="Media",'Mapa final'!#REF!="Leve"),CONCATENATE("R3C",'Mapa final'!#REF!),"")</f>
        <v>#REF!</v>
      </c>
      <c r="O28" s="38" t="e">
        <f>IF(AND('Mapa final'!#REF!="Media",'Mapa final'!#REF!="Leve"),CONCATENATE("R3C",'Mapa final'!#REF!),"")</f>
        <v>#REF!</v>
      </c>
      <c r="P28" s="36" t="str">
        <f>IF(AND('Mapa final'!$Y$26="Media",'Mapa final'!$AA$26="Menor"),CONCATENATE("R3C",'Mapa final'!$O$26),"")</f>
        <v/>
      </c>
      <c r="Q28" s="37" t="str">
        <f>IF(AND('Mapa final'!$Y$27="Media",'Mapa final'!$AA$27="Menor"),CONCATENATE("R3C",'Mapa final'!$O$27),"")</f>
        <v/>
      </c>
      <c r="R28" s="37" t="str">
        <f>IF(AND('Mapa final'!$Y$28="Media",'Mapa final'!$AA$28="Menor"),CONCATENATE("R3C",'Mapa final'!$O$28),"")</f>
        <v/>
      </c>
      <c r="S28" s="37" t="e">
        <f>IF(AND('Mapa final'!#REF!="Media",'Mapa final'!#REF!="Menor"),CONCATENATE("R3C",'Mapa final'!#REF!),"")</f>
        <v>#REF!</v>
      </c>
      <c r="T28" s="37" t="e">
        <f>IF(AND('Mapa final'!#REF!="Media",'Mapa final'!#REF!="Menor"),CONCATENATE("R3C",'Mapa final'!#REF!),"")</f>
        <v>#REF!</v>
      </c>
      <c r="U28" s="38" t="e">
        <f>IF(AND('Mapa final'!#REF!="Media",'Mapa final'!#REF!="Menor"),CONCATENATE("R3C",'Mapa final'!#REF!),"")</f>
        <v>#REF!</v>
      </c>
      <c r="V28" s="36" t="str">
        <f>IF(AND('Mapa final'!$Y$26="Media",'Mapa final'!$AA$26="Moderado"),CONCATENATE("R3C",'Mapa final'!$O$26),"")</f>
        <v/>
      </c>
      <c r="W28" s="37" t="str">
        <f>IF(AND('Mapa final'!$Y$27="Media",'Mapa final'!$AA$27="Moderado"),CONCATENATE("R3C",'Mapa final'!$O$27),"")</f>
        <v/>
      </c>
      <c r="X28" s="37" t="str">
        <f>IF(AND('Mapa final'!$Y$28="Media",'Mapa final'!$AA$28="Moderado"),CONCATENATE("R3C",'Mapa final'!$O$28),"")</f>
        <v/>
      </c>
      <c r="Y28" s="37" t="e">
        <f>IF(AND('Mapa final'!#REF!="Media",'Mapa final'!#REF!="Moderado"),CONCATENATE("R3C",'Mapa final'!#REF!),"")</f>
        <v>#REF!</v>
      </c>
      <c r="Z28" s="37" t="e">
        <f>IF(AND('Mapa final'!#REF!="Media",'Mapa final'!#REF!="Moderado"),CONCATENATE("R3C",'Mapa final'!#REF!),"")</f>
        <v>#REF!</v>
      </c>
      <c r="AA28" s="38" t="e">
        <f>IF(AND('Mapa final'!#REF!="Media",'Mapa final'!#REF!="Moderado"),CONCATENATE("R3C",'Mapa final'!#REF!),"")</f>
        <v>#REF!</v>
      </c>
      <c r="AB28" s="21" t="str">
        <f>IF(AND('Mapa final'!$Y$26="Media",'Mapa final'!$AA$26="Mayor"),CONCATENATE("R3C",'Mapa final'!$O$26),"")</f>
        <v/>
      </c>
      <c r="AC28" s="22" t="str">
        <f>IF(AND('Mapa final'!$Y$27="Media",'Mapa final'!$AA$27="Mayor"),CONCATENATE("R3C",'Mapa final'!$O$27),"")</f>
        <v/>
      </c>
      <c r="AD28" s="22" t="str">
        <f>IF(AND('Mapa final'!$Y$28="Media",'Mapa final'!$AA$28="Mayor"),CONCATENATE("R3C",'Mapa final'!$O$28),"")</f>
        <v/>
      </c>
      <c r="AE28" s="22" t="e">
        <f>IF(AND('Mapa final'!#REF!="Media",'Mapa final'!#REF!="Mayor"),CONCATENATE("R3C",'Mapa final'!#REF!),"")</f>
        <v>#REF!</v>
      </c>
      <c r="AF28" s="22" t="e">
        <f>IF(AND('Mapa final'!#REF!="Media",'Mapa final'!#REF!="Mayor"),CONCATENATE("R3C",'Mapa final'!#REF!),"")</f>
        <v>#REF!</v>
      </c>
      <c r="AG28" s="23" t="e">
        <f>IF(AND('Mapa final'!#REF!="Media",'Mapa final'!#REF!="Mayor"),CONCATENATE("R3C",'Mapa final'!#REF!),"")</f>
        <v>#REF!</v>
      </c>
      <c r="AH28" s="24" t="str">
        <f>IF(AND('Mapa final'!$Y$26="Media",'Mapa final'!$AA$26="Catastrófico"),CONCATENATE("R3C",'Mapa final'!$O$26),"")</f>
        <v/>
      </c>
      <c r="AI28" s="25" t="str">
        <f>IF(AND('Mapa final'!$Y$27="Media",'Mapa final'!$AA$27="Catastrófico"),CONCATENATE("R3C",'Mapa final'!$O$27),"")</f>
        <v/>
      </c>
      <c r="AJ28" s="25" t="str">
        <f>IF(AND('Mapa final'!$Y$28="Media",'Mapa final'!$AA$28="Catastrófico"),CONCATENATE("R3C",'Mapa final'!$O$28),"")</f>
        <v/>
      </c>
      <c r="AK28" s="25" t="e">
        <f>IF(AND('Mapa final'!#REF!="Media",'Mapa final'!#REF!="Catastrófico"),CONCATENATE("R3C",'Mapa final'!#REF!),"")</f>
        <v>#REF!</v>
      </c>
      <c r="AL28" s="25" t="e">
        <f>IF(AND('Mapa final'!#REF!="Media",'Mapa final'!#REF!="Catastrófico"),CONCATENATE("R3C",'Mapa final'!#REF!),"")</f>
        <v>#REF!</v>
      </c>
      <c r="AM28" s="26" t="e">
        <f>IF(AND('Mapa final'!#REF!="Media",'Mapa final'!#REF!="Catastrófico"),CONCATENATE("R3C",'Mapa final'!#REF!),"")</f>
        <v>#REF!</v>
      </c>
      <c r="AN28" s="1"/>
      <c r="AO28" s="289"/>
      <c r="AP28" s="235"/>
      <c r="AQ28" s="235"/>
      <c r="AR28" s="235"/>
      <c r="AS28" s="235"/>
      <c r="AT28" s="290"/>
    </row>
    <row r="29" spans="2:46" ht="15" customHeight="1" x14ac:dyDescent="0.25">
      <c r="B29" s="280"/>
      <c r="C29" s="235"/>
      <c r="D29" s="236"/>
      <c r="E29" s="247"/>
      <c r="F29" s="235"/>
      <c r="G29" s="235"/>
      <c r="H29" s="235"/>
      <c r="I29" s="236"/>
      <c r="J29" s="36" t="str">
        <f>IF(AND('Mapa final'!$Y$31="Media",'Mapa final'!$AA$31="Leve"),CONCATENATE("R4C",'Mapa final'!$O$31),"")</f>
        <v/>
      </c>
      <c r="K29" s="37" t="str">
        <f>IF(AND('Mapa final'!$Y$32="Media",'Mapa final'!$AA$32="Leve"),CONCATENATE("R4C",'Mapa final'!$O$32),"")</f>
        <v/>
      </c>
      <c r="L29" s="37" t="e">
        <f>IF(AND('Mapa final'!#REF!="Media",'Mapa final'!#REF!="Leve"),CONCATENATE("R4C",'Mapa final'!#REF!),"")</f>
        <v>#REF!</v>
      </c>
      <c r="M29" s="37" t="str">
        <f>IF(AND('Mapa final'!$Y$33="Media",'Mapa final'!$AA$33="Leve"),CONCATENATE("R4C",'Mapa final'!$O$33),"")</f>
        <v/>
      </c>
      <c r="N29" s="37" t="e">
        <f>IF(AND('Mapa final'!#REF!="Media",'Mapa final'!#REF!="Leve"),CONCATENATE("R4C",'Mapa final'!#REF!),"")</f>
        <v>#REF!</v>
      </c>
      <c r="O29" s="38" t="e">
        <f>IF(AND('Mapa final'!#REF!="Media",'Mapa final'!#REF!="Leve"),CONCATENATE("R4C",'Mapa final'!#REF!),"")</f>
        <v>#REF!</v>
      </c>
      <c r="P29" s="36" t="str">
        <f>IF(AND('Mapa final'!$Y$31="Media",'Mapa final'!$AA$31="Menor"),CONCATENATE("R4C",'Mapa final'!$O$31),"")</f>
        <v/>
      </c>
      <c r="Q29" s="37" t="str">
        <f>IF(AND('Mapa final'!$Y$32="Media",'Mapa final'!$AA$32="Menor"),CONCATENATE("R4C",'Mapa final'!$O$32),"")</f>
        <v/>
      </c>
      <c r="R29" s="37" t="e">
        <f>IF(AND('Mapa final'!#REF!="Media",'Mapa final'!#REF!="Menor"),CONCATENATE("R4C",'Mapa final'!#REF!),"")</f>
        <v>#REF!</v>
      </c>
      <c r="S29" s="37" t="str">
        <f>IF(AND('Mapa final'!$Y$33="Media",'Mapa final'!$AA$33="Menor"),CONCATENATE("R4C",'Mapa final'!$O$33),"")</f>
        <v/>
      </c>
      <c r="T29" s="37" t="e">
        <f>IF(AND('Mapa final'!#REF!="Media",'Mapa final'!#REF!="Menor"),CONCATENATE("R4C",'Mapa final'!#REF!),"")</f>
        <v>#REF!</v>
      </c>
      <c r="U29" s="38" t="e">
        <f>IF(AND('Mapa final'!#REF!="Media",'Mapa final'!#REF!="Menor"),CONCATENATE("R4C",'Mapa final'!#REF!),"")</f>
        <v>#REF!</v>
      </c>
      <c r="V29" s="36" t="str">
        <f>IF(AND('Mapa final'!$Y$31="Media",'Mapa final'!$AA$31="Moderado"),CONCATENATE("R4C",'Mapa final'!$O$31),"")</f>
        <v/>
      </c>
      <c r="W29" s="37" t="str">
        <f>IF(AND('Mapa final'!$Y$32="Media",'Mapa final'!$AA$32="Moderado"),CONCATENATE("R4C",'Mapa final'!$O$32),"")</f>
        <v/>
      </c>
      <c r="X29" s="37" t="e">
        <f>IF(AND('Mapa final'!#REF!="Media",'Mapa final'!#REF!="Moderado"),CONCATENATE("R4C",'Mapa final'!#REF!),"")</f>
        <v>#REF!</v>
      </c>
      <c r="Y29" s="37" t="str">
        <f>IF(AND('Mapa final'!$Y$33="Media",'Mapa final'!$AA$33="Moderado"),CONCATENATE("R4C",'Mapa final'!$O$33),"")</f>
        <v/>
      </c>
      <c r="Z29" s="37" t="e">
        <f>IF(AND('Mapa final'!#REF!="Media",'Mapa final'!#REF!="Moderado"),CONCATENATE("R4C",'Mapa final'!#REF!),"")</f>
        <v>#REF!</v>
      </c>
      <c r="AA29" s="38" t="e">
        <f>IF(AND('Mapa final'!#REF!="Media",'Mapa final'!#REF!="Moderado"),CONCATENATE("R4C",'Mapa final'!#REF!),"")</f>
        <v>#REF!</v>
      </c>
      <c r="AB29" s="21" t="str">
        <f>IF(AND('Mapa final'!$Y$31="Media",'Mapa final'!$AA$31="Mayor"),CONCATENATE("R4C",'Mapa final'!$O$31),"")</f>
        <v/>
      </c>
      <c r="AC29" s="22" t="str">
        <f>IF(AND('Mapa final'!$Y$32="Media",'Mapa final'!$AA$32="Mayor"),CONCATENATE("R4C",'Mapa final'!$O$32),"")</f>
        <v/>
      </c>
      <c r="AD29" s="22" t="e">
        <f>IF(AND('Mapa final'!#REF!="Media",'Mapa final'!#REF!="Mayor"),CONCATENATE("R4C",'Mapa final'!#REF!),"")</f>
        <v>#REF!</v>
      </c>
      <c r="AE29" s="22" t="str">
        <f>IF(AND('Mapa final'!$Y$33="Media",'Mapa final'!$AA$33="Mayor"),CONCATENATE("R4C",'Mapa final'!$O$33),"")</f>
        <v/>
      </c>
      <c r="AF29" s="22" t="e">
        <f>IF(AND('Mapa final'!#REF!="Media",'Mapa final'!#REF!="Mayor"),CONCATENATE("R4C",'Mapa final'!#REF!),"")</f>
        <v>#REF!</v>
      </c>
      <c r="AG29" s="23" t="e">
        <f>IF(AND('Mapa final'!#REF!="Media",'Mapa final'!#REF!="Mayor"),CONCATENATE("R4C",'Mapa final'!#REF!),"")</f>
        <v>#REF!</v>
      </c>
      <c r="AH29" s="24" t="str">
        <f>IF(AND('Mapa final'!$Y$31="Media",'Mapa final'!$AA$31="Catastrófico"),CONCATENATE("R4C",'Mapa final'!$O$31),"")</f>
        <v/>
      </c>
      <c r="AI29" s="25" t="str">
        <f>IF(AND('Mapa final'!$Y$32="Media",'Mapa final'!$AA$32="Catastrófico"),CONCATENATE("R4C",'Mapa final'!$O$32),"")</f>
        <v/>
      </c>
      <c r="AJ29" s="25" t="e">
        <f>IF(AND('Mapa final'!#REF!="Media",'Mapa final'!#REF!="Catastrófico"),CONCATENATE("R4C",'Mapa final'!#REF!),"")</f>
        <v>#REF!</v>
      </c>
      <c r="AK29" s="25" t="str">
        <f>IF(AND('Mapa final'!$Y$33="Media",'Mapa final'!$AA$33="Catastrófico"),CONCATENATE("R4C",'Mapa final'!$O$33),"")</f>
        <v/>
      </c>
      <c r="AL29" s="25" t="e">
        <f>IF(AND('Mapa final'!#REF!="Media",'Mapa final'!#REF!="Catastrófico"),CONCATENATE("R4C",'Mapa final'!#REF!),"")</f>
        <v>#REF!</v>
      </c>
      <c r="AM29" s="26" t="e">
        <f>IF(AND('Mapa final'!#REF!="Media",'Mapa final'!#REF!="Catastrófico"),CONCATENATE("R4C",'Mapa final'!#REF!),"")</f>
        <v>#REF!</v>
      </c>
      <c r="AN29" s="1"/>
      <c r="AO29" s="289"/>
      <c r="AP29" s="235"/>
      <c r="AQ29" s="235"/>
      <c r="AR29" s="235"/>
      <c r="AS29" s="235"/>
      <c r="AT29" s="290"/>
    </row>
    <row r="30" spans="2:46" ht="15" customHeight="1" x14ac:dyDescent="0.25">
      <c r="B30" s="280"/>
      <c r="C30" s="235"/>
      <c r="D30" s="236"/>
      <c r="E30" s="247"/>
      <c r="F30" s="235"/>
      <c r="G30" s="235"/>
      <c r="H30" s="235"/>
      <c r="I30" s="236"/>
      <c r="J30" s="36" t="str">
        <f>IF(AND('Mapa final'!$Y$36="Media",'Mapa final'!$AA$36="Leve"),CONCATENATE("R5C",'Mapa final'!$O$36),"")</f>
        <v/>
      </c>
      <c r="K30" s="37" t="str">
        <f>IF(AND('Mapa final'!$Y$37="Media",'Mapa final'!$AA$37="Leve"),CONCATENATE("R5C",'Mapa final'!$O$37),"")</f>
        <v/>
      </c>
      <c r="L30" s="37" t="str">
        <f>IF(AND('Mapa final'!$Y$38="Media",'Mapa final'!$AA$38="Leve"),CONCATENATE("R5C",'Mapa final'!$O$38),"")</f>
        <v/>
      </c>
      <c r="M30" s="37" t="e">
        <f>IF(AND('Mapa final'!#REF!="Media",'Mapa final'!#REF!="Leve"),CONCATENATE("R5C",'Mapa final'!#REF!),"")</f>
        <v>#REF!</v>
      </c>
      <c r="N30" s="37" t="e">
        <f>IF(AND('Mapa final'!#REF!="Media",'Mapa final'!#REF!="Leve"),CONCATENATE("R5C",'Mapa final'!#REF!),"")</f>
        <v>#REF!</v>
      </c>
      <c r="O30" s="38" t="e">
        <f>IF(AND('Mapa final'!#REF!="Media",'Mapa final'!#REF!="Leve"),CONCATENATE("R5C",'Mapa final'!#REF!),"")</f>
        <v>#REF!</v>
      </c>
      <c r="P30" s="36" t="str">
        <f>IF(AND('Mapa final'!$Y$36="Media",'Mapa final'!$AA$36="Menor"),CONCATENATE("R5C",'Mapa final'!$O$36),"")</f>
        <v/>
      </c>
      <c r="Q30" s="37" t="str">
        <f>IF(AND('Mapa final'!$Y$37="Media",'Mapa final'!$AA$37="Menor"),CONCATENATE("R5C",'Mapa final'!$O$37),"")</f>
        <v/>
      </c>
      <c r="R30" s="37" t="str">
        <f>IF(AND('Mapa final'!$Y$38="Media",'Mapa final'!$AA$38="Menor"),CONCATENATE("R5C",'Mapa final'!$O$38),"")</f>
        <v/>
      </c>
      <c r="S30" s="37" t="e">
        <f>IF(AND('Mapa final'!#REF!="Media",'Mapa final'!#REF!="Menor"),CONCATENATE("R5C",'Mapa final'!#REF!),"")</f>
        <v>#REF!</v>
      </c>
      <c r="T30" s="37" t="e">
        <f>IF(AND('Mapa final'!#REF!="Media",'Mapa final'!#REF!="Menor"),CONCATENATE("R5C",'Mapa final'!#REF!),"")</f>
        <v>#REF!</v>
      </c>
      <c r="U30" s="38" t="e">
        <f>IF(AND('Mapa final'!#REF!="Media",'Mapa final'!#REF!="Menor"),CONCATENATE("R5C",'Mapa final'!#REF!),"")</f>
        <v>#REF!</v>
      </c>
      <c r="V30" s="36" t="str">
        <f>IF(AND('Mapa final'!$Y$36="Media",'Mapa final'!$AA$36="Moderado"),CONCATENATE("R5C",'Mapa final'!$O$36),"")</f>
        <v/>
      </c>
      <c r="W30" s="37" t="str">
        <f>IF(AND('Mapa final'!$Y$37="Media",'Mapa final'!$AA$37="Moderado"),CONCATENATE("R5C",'Mapa final'!$O$37),"")</f>
        <v/>
      </c>
      <c r="X30" s="37" t="str">
        <f>IF(AND('Mapa final'!$Y$38="Media",'Mapa final'!$AA$38="Moderado"),CONCATENATE("R5C",'Mapa final'!$O$38),"")</f>
        <v/>
      </c>
      <c r="Y30" s="37" t="e">
        <f>IF(AND('Mapa final'!#REF!="Media",'Mapa final'!#REF!="Moderado"),CONCATENATE("R5C",'Mapa final'!#REF!),"")</f>
        <v>#REF!</v>
      </c>
      <c r="Z30" s="37" t="e">
        <f>IF(AND('Mapa final'!#REF!="Media",'Mapa final'!#REF!="Moderado"),CONCATENATE("R5C",'Mapa final'!#REF!),"")</f>
        <v>#REF!</v>
      </c>
      <c r="AA30" s="38" t="e">
        <f>IF(AND('Mapa final'!#REF!="Media",'Mapa final'!#REF!="Moderado"),CONCATENATE("R5C",'Mapa final'!#REF!),"")</f>
        <v>#REF!</v>
      </c>
      <c r="AB30" s="21" t="str">
        <f>IF(AND('Mapa final'!$Y$36="Media",'Mapa final'!$AA$36="Mayor"),CONCATENATE("R5C",'Mapa final'!$O$36),"")</f>
        <v/>
      </c>
      <c r="AC30" s="22" t="str">
        <f>IF(AND('Mapa final'!$Y$37="Media",'Mapa final'!$AA$37="Mayor"),CONCATENATE("R5C",'Mapa final'!$O$37),"")</f>
        <v/>
      </c>
      <c r="AD30" s="22" t="str">
        <f>IF(AND('Mapa final'!$Y$38="Media",'Mapa final'!$AA$38="Mayor"),CONCATENATE("R5C",'Mapa final'!$O$38),"")</f>
        <v/>
      </c>
      <c r="AE30" s="22" t="e">
        <f>IF(AND('Mapa final'!#REF!="Media",'Mapa final'!#REF!="Mayor"),CONCATENATE("R5C",'Mapa final'!#REF!),"")</f>
        <v>#REF!</v>
      </c>
      <c r="AF30" s="22" t="e">
        <f>IF(AND('Mapa final'!#REF!="Media",'Mapa final'!#REF!="Mayor"),CONCATENATE("R5C",'Mapa final'!#REF!),"")</f>
        <v>#REF!</v>
      </c>
      <c r="AG30" s="23" t="e">
        <f>IF(AND('Mapa final'!#REF!="Media",'Mapa final'!#REF!="Mayor"),CONCATENATE("R5C",'Mapa final'!#REF!),"")</f>
        <v>#REF!</v>
      </c>
      <c r="AH30" s="24" t="str">
        <f>IF(AND('Mapa final'!$Y$36="Media",'Mapa final'!$AA$36="Catastrófico"),CONCATENATE("R5C",'Mapa final'!$O$36),"")</f>
        <v/>
      </c>
      <c r="AI30" s="25" t="str">
        <f>IF(AND('Mapa final'!$Y$37="Media",'Mapa final'!$AA$37="Catastrófico"),CONCATENATE("R5C",'Mapa final'!$O$37),"")</f>
        <v/>
      </c>
      <c r="AJ30" s="25" t="str">
        <f>IF(AND('Mapa final'!$Y$38="Media",'Mapa final'!$AA$38="Catastrófico"),CONCATENATE("R5C",'Mapa final'!$O$38),"")</f>
        <v/>
      </c>
      <c r="AK30" s="25" t="e">
        <f>IF(AND('Mapa final'!#REF!="Media",'Mapa final'!#REF!="Catastrófico"),CONCATENATE("R5C",'Mapa final'!#REF!),"")</f>
        <v>#REF!</v>
      </c>
      <c r="AL30" s="25" t="e">
        <f>IF(AND('Mapa final'!#REF!="Media",'Mapa final'!#REF!="Catastrófico"),CONCATENATE("R5C",'Mapa final'!#REF!),"")</f>
        <v>#REF!</v>
      </c>
      <c r="AM30" s="26" t="e">
        <f>IF(AND('Mapa final'!#REF!="Media",'Mapa final'!#REF!="Catastrófico"),CONCATENATE("R5C",'Mapa final'!#REF!),"")</f>
        <v>#REF!</v>
      </c>
      <c r="AN30" s="1"/>
      <c r="AO30" s="289"/>
      <c r="AP30" s="235"/>
      <c r="AQ30" s="235"/>
      <c r="AR30" s="235"/>
      <c r="AS30" s="235"/>
      <c r="AT30" s="290"/>
    </row>
    <row r="31" spans="2:46" ht="15" customHeight="1" x14ac:dyDescent="0.25">
      <c r="B31" s="280"/>
      <c r="C31" s="235"/>
      <c r="D31" s="236"/>
      <c r="E31" s="247"/>
      <c r="F31" s="235"/>
      <c r="G31" s="235"/>
      <c r="H31" s="235"/>
      <c r="I31" s="236"/>
      <c r="J31" s="36" t="str">
        <f>IF(AND('Mapa final'!$Y$44="Media",'Mapa final'!$AA$44="Leve"),CONCATENATE("R6C",'Mapa final'!$O$44),"")</f>
        <v/>
      </c>
      <c r="K31" s="37" t="str">
        <f>IF(AND('Mapa final'!$Y$45="Media",'Mapa final'!$AA$45="Leve"),CONCATENATE("R6C",'Mapa final'!$O$45),"")</f>
        <v/>
      </c>
      <c r="L31" s="37" t="str">
        <f>IF(AND('Mapa final'!$Y$46="Media",'Mapa final'!$AA$46="Leve"),CONCATENATE("R6C",'Mapa final'!$O$46),"")</f>
        <v/>
      </c>
      <c r="M31" s="37" t="e">
        <f>IF(AND('Mapa final'!#REF!="Media",'Mapa final'!#REF!="Leve"),CONCATENATE("R6C",'Mapa final'!#REF!),"")</f>
        <v>#REF!</v>
      </c>
      <c r="N31" s="37" t="e">
        <f>IF(AND('Mapa final'!#REF!="Media",'Mapa final'!#REF!="Leve"),CONCATENATE("R6C",'Mapa final'!#REF!),"")</f>
        <v>#REF!</v>
      </c>
      <c r="O31" s="38" t="e">
        <f>IF(AND('Mapa final'!#REF!="Media",'Mapa final'!#REF!="Leve"),CONCATENATE("R6C",'Mapa final'!#REF!),"")</f>
        <v>#REF!</v>
      </c>
      <c r="P31" s="36" t="str">
        <f>IF(AND('Mapa final'!$Y$44="Media",'Mapa final'!$AA$44="Menor"),CONCATENATE("R6C",'Mapa final'!$O$44),"")</f>
        <v>R6C1</v>
      </c>
      <c r="Q31" s="37" t="str">
        <f>IF(AND('Mapa final'!$Y$45="Media",'Mapa final'!$AA$45="Menor"),CONCATENATE("R6C",'Mapa final'!$O$45),"")</f>
        <v/>
      </c>
      <c r="R31" s="37" t="str">
        <f>IF(AND('Mapa final'!$Y$46="Media",'Mapa final'!$AA$46="Menor"),CONCATENATE("R6C",'Mapa final'!$O$46),"")</f>
        <v/>
      </c>
      <c r="S31" s="37" t="e">
        <f>IF(AND('Mapa final'!#REF!="Media",'Mapa final'!#REF!="Menor"),CONCATENATE("R6C",'Mapa final'!#REF!),"")</f>
        <v>#REF!</v>
      </c>
      <c r="T31" s="37" t="e">
        <f>IF(AND('Mapa final'!#REF!="Media",'Mapa final'!#REF!="Menor"),CONCATENATE("R6C",'Mapa final'!#REF!),"")</f>
        <v>#REF!</v>
      </c>
      <c r="U31" s="38" t="e">
        <f>IF(AND('Mapa final'!#REF!="Media",'Mapa final'!#REF!="Menor"),CONCATENATE("R6C",'Mapa final'!#REF!),"")</f>
        <v>#REF!</v>
      </c>
      <c r="V31" s="36" t="str">
        <f>IF(AND('Mapa final'!$Y$44="Media",'Mapa final'!$AA$44="Moderado"),CONCATENATE("R6C",'Mapa final'!$O$44),"")</f>
        <v/>
      </c>
      <c r="W31" s="37" t="str">
        <f>IF(AND('Mapa final'!$Y$45="Media",'Mapa final'!$AA$45="Moderado"),CONCATENATE("R6C",'Mapa final'!$O$45),"")</f>
        <v/>
      </c>
      <c r="X31" s="37" t="str">
        <f>IF(AND('Mapa final'!$Y$46="Media",'Mapa final'!$AA$46="Moderado"),CONCATENATE("R6C",'Mapa final'!$O$46),"")</f>
        <v/>
      </c>
      <c r="Y31" s="37" t="e">
        <f>IF(AND('Mapa final'!#REF!="Media",'Mapa final'!#REF!="Moderado"),CONCATENATE("R6C",'Mapa final'!#REF!),"")</f>
        <v>#REF!</v>
      </c>
      <c r="Z31" s="37" t="e">
        <f>IF(AND('Mapa final'!#REF!="Media",'Mapa final'!#REF!="Moderado"),CONCATENATE("R6C",'Mapa final'!#REF!),"")</f>
        <v>#REF!</v>
      </c>
      <c r="AA31" s="38" t="e">
        <f>IF(AND('Mapa final'!#REF!="Media",'Mapa final'!#REF!="Moderado"),CONCATENATE("R6C",'Mapa final'!#REF!),"")</f>
        <v>#REF!</v>
      </c>
      <c r="AB31" s="21" t="str">
        <f>IF(AND('Mapa final'!$Y$44="Media",'Mapa final'!$AA$44="Mayor"),CONCATENATE("R6C",'Mapa final'!$O$44),"")</f>
        <v/>
      </c>
      <c r="AC31" s="22" t="str">
        <f>IF(AND('Mapa final'!$Y$45="Media",'Mapa final'!$AA$45="Mayor"),CONCATENATE("R6C",'Mapa final'!$O$45),"")</f>
        <v/>
      </c>
      <c r="AD31" s="22" t="str">
        <f>IF(AND('Mapa final'!$Y$46="Media",'Mapa final'!$AA$46="Mayor"),CONCATENATE("R6C",'Mapa final'!$O$46),"")</f>
        <v/>
      </c>
      <c r="AE31" s="22" t="e">
        <f>IF(AND('Mapa final'!#REF!="Media",'Mapa final'!#REF!="Mayor"),CONCATENATE("R6C",'Mapa final'!#REF!),"")</f>
        <v>#REF!</v>
      </c>
      <c r="AF31" s="22" t="e">
        <f>IF(AND('Mapa final'!#REF!="Media",'Mapa final'!#REF!="Mayor"),CONCATENATE("R6C",'Mapa final'!#REF!),"")</f>
        <v>#REF!</v>
      </c>
      <c r="AG31" s="23" t="e">
        <f>IF(AND('Mapa final'!#REF!="Media",'Mapa final'!#REF!="Mayor"),CONCATENATE("R6C",'Mapa final'!#REF!),"")</f>
        <v>#REF!</v>
      </c>
      <c r="AH31" s="24" t="str">
        <f>IF(AND('Mapa final'!$Y$44="Media",'Mapa final'!$AA$44="Catastrófico"),CONCATENATE("R6C",'Mapa final'!$O$44),"")</f>
        <v/>
      </c>
      <c r="AI31" s="25" t="str">
        <f>IF(AND('Mapa final'!$Y$45="Media",'Mapa final'!$AA$45="Catastrófico"),CONCATENATE("R6C",'Mapa final'!$O$45),"")</f>
        <v/>
      </c>
      <c r="AJ31" s="25" t="str">
        <f>IF(AND('Mapa final'!$Y$46="Media",'Mapa final'!$AA$46="Catastrófico"),CONCATENATE("R6C",'Mapa final'!$O$46),"")</f>
        <v/>
      </c>
      <c r="AK31" s="25" t="e">
        <f>IF(AND('Mapa final'!#REF!="Media",'Mapa final'!#REF!="Catastrófico"),CONCATENATE("R6C",'Mapa final'!#REF!),"")</f>
        <v>#REF!</v>
      </c>
      <c r="AL31" s="25" t="e">
        <f>IF(AND('Mapa final'!#REF!="Media",'Mapa final'!#REF!="Catastrófico"),CONCATENATE("R6C",'Mapa final'!#REF!),"")</f>
        <v>#REF!</v>
      </c>
      <c r="AM31" s="26" t="e">
        <f>IF(AND('Mapa final'!#REF!="Media",'Mapa final'!#REF!="Catastrófico"),CONCATENATE("R6C",'Mapa final'!#REF!),"")</f>
        <v>#REF!</v>
      </c>
      <c r="AN31" s="1"/>
      <c r="AO31" s="289"/>
      <c r="AP31" s="235"/>
      <c r="AQ31" s="235"/>
      <c r="AR31" s="235"/>
      <c r="AS31" s="235"/>
      <c r="AT31" s="290"/>
    </row>
    <row r="32" spans="2:46" ht="15" customHeight="1" x14ac:dyDescent="0.25">
      <c r="B32" s="280"/>
      <c r="C32" s="235"/>
      <c r="D32" s="236"/>
      <c r="E32" s="247"/>
      <c r="F32" s="235"/>
      <c r="G32" s="235"/>
      <c r="H32" s="235"/>
      <c r="I32" s="236"/>
      <c r="J32" s="36" t="e">
        <f>IF(AND('Mapa final'!#REF!="Media",'Mapa final'!#REF!="Leve"),CONCATENATE("R7C",'Mapa final'!#REF!),"")</f>
        <v>#REF!</v>
      </c>
      <c r="K32" s="37" t="e">
        <f>IF(AND('Mapa final'!#REF!="Media",'Mapa final'!#REF!="Leve"),CONCATENATE("R7C",'Mapa final'!#REF!),"")</f>
        <v>#REF!</v>
      </c>
      <c r="L32" s="37" t="e">
        <f>IF(AND('Mapa final'!#REF!="Media",'Mapa final'!#REF!="Leve"),CONCATENATE("R7C",'Mapa final'!#REF!),"")</f>
        <v>#REF!</v>
      </c>
      <c r="M32" s="37" t="e">
        <f>IF(AND('Mapa final'!#REF!="Media",'Mapa final'!#REF!="Leve"),CONCATENATE("R7C",'Mapa final'!#REF!),"")</f>
        <v>#REF!</v>
      </c>
      <c r="N32" s="37" t="e">
        <f>IF(AND('Mapa final'!#REF!="Media",'Mapa final'!#REF!="Leve"),CONCATENATE("R7C",'Mapa final'!#REF!),"")</f>
        <v>#REF!</v>
      </c>
      <c r="O32" s="38" t="e">
        <f>IF(AND('Mapa final'!#REF!="Media",'Mapa final'!#REF!="Leve"),CONCATENATE("R7C",'Mapa final'!#REF!),"")</f>
        <v>#REF!</v>
      </c>
      <c r="P32" s="36" t="e">
        <f>IF(AND('Mapa final'!#REF!="Media",'Mapa final'!#REF!="Menor"),CONCATENATE("R7C",'Mapa final'!#REF!),"")</f>
        <v>#REF!</v>
      </c>
      <c r="Q32" s="37" t="e">
        <f>IF(AND('Mapa final'!#REF!="Media",'Mapa final'!#REF!="Menor"),CONCATENATE("R7C",'Mapa final'!#REF!),"")</f>
        <v>#REF!</v>
      </c>
      <c r="R32" s="37" t="e">
        <f>IF(AND('Mapa final'!#REF!="Media",'Mapa final'!#REF!="Menor"),CONCATENATE("R7C",'Mapa final'!#REF!),"")</f>
        <v>#REF!</v>
      </c>
      <c r="S32" s="37" t="e">
        <f>IF(AND('Mapa final'!#REF!="Media",'Mapa final'!#REF!="Menor"),CONCATENATE("R7C",'Mapa final'!#REF!),"")</f>
        <v>#REF!</v>
      </c>
      <c r="T32" s="37" t="e">
        <f>IF(AND('Mapa final'!#REF!="Media",'Mapa final'!#REF!="Menor"),CONCATENATE("R7C",'Mapa final'!#REF!),"")</f>
        <v>#REF!</v>
      </c>
      <c r="U32" s="38" t="e">
        <f>IF(AND('Mapa final'!#REF!="Media",'Mapa final'!#REF!="Menor"),CONCATENATE("R7C",'Mapa final'!#REF!),"")</f>
        <v>#REF!</v>
      </c>
      <c r="V32" s="36" t="e">
        <f>IF(AND('Mapa final'!#REF!="Media",'Mapa final'!#REF!="Moderado"),CONCATENATE("R7C",'Mapa final'!#REF!),"")</f>
        <v>#REF!</v>
      </c>
      <c r="W32" s="37" t="e">
        <f>IF(AND('Mapa final'!#REF!="Media",'Mapa final'!#REF!="Moderado"),CONCATENATE("R7C",'Mapa final'!#REF!),"")</f>
        <v>#REF!</v>
      </c>
      <c r="X32" s="37" t="e">
        <f>IF(AND('Mapa final'!#REF!="Media",'Mapa final'!#REF!="Moderado"),CONCATENATE("R7C",'Mapa final'!#REF!),"")</f>
        <v>#REF!</v>
      </c>
      <c r="Y32" s="37" t="e">
        <f>IF(AND('Mapa final'!#REF!="Media",'Mapa final'!#REF!="Moderado"),CONCATENATE("R7C",'Mapa final'!#REF!),"")</f>
        <v>#REF!</v>
      </c>
      <c r="Z32" s="37" t="e">
        <f>IF(AND('Mapa final'!#REF!="Media",'Mapa final'!#REF!="Moderado"),CONCATENATE("R7C",'Mapa final'!#REF!),"")</f>
        <v>#REF!</v>
      </c>
      <c r="AA32" s="38" t="e">
        <f>IF(AND('Mapa final'!#REF!="Media",'Mapa final'!#REF!="Moderado"),CONCATENATE("R7C",'Mapa final'!#REF!),"")</f>
        <v>#REF!</v>
      </c>
      <c r="AB32" s="21" t="e">
        <f>IF(AND('Mapa final'!#REF!="Media",'Mapa final'!#REF!="Mayor"),CONCATENATE("R7C",'Mapa final'!#REF!),"")</f>
        <v>#REF!</v>
      </c>
      <c r="AC32" s="22" t="e">
        <f>IF(AND('Mapa final'!#REF!="Media",'Mapa final'!#REF!="Mayor"),CONCATENATE("R7C",'Mapa final'!#REF!),"")</f>
        <v>#REF!</v>
      </c>
      <c r="AD32" s="22" t="e">
        <f>IF(AND('Mapa final'!#REF!="Media",'Mapa final'!#REF!="Mayor"),CONCATENATE("R7C",'Mapa final'!#REF!),"")</f>
        <v>#REF!</v>
      </c>
      <c r="AE32" s="22" t="e">
        <f>IF(AND('Mapa final'!#REF!="Media",'Mapa final'!#REF!="Mayor"),CONCATENATE("R7C",'Mapa final'!#REF!),"")</f>
        <v>#REF!</v>
      </c>
      <c r="AF32" s="22" t="e">
        <f>IF(AND('Mapa final'!#REF!="Media",'Mapa final'!#REF!="Mayor"),CONCATENATE("R7C",'Mapa final'!#REF!),"")</f>
        <v>#REF!</v>
      </c>
      <c r="AG32" s="23" t="e">
        <f>IF(AND('Mapa final'!#REF!="Media",'Mapa final'!#REF!="Mayor"),CONCATENATE("R7C",'Mapa final'!#REF!),"")</f>
        <v>#REF!</v>
      </c>
      <c r="AH32" s="24" t="e">
        <f>IF(AND('Mapa final'!#REF!="Media",'Mapa final'!#REF!="Catastrófico"),CONCATENATE("R7C",'Mapa final'!#REF!),"")</f>
        <v>#REF!</v>
      </c>
      <c r="AI32" s="25" t="e">
        <f>IF(AND('Mapa final'!#REF!="Media",'Mapa final'!#REF!="Catastrófico"),CONCATENATE("R7C",'Mapa final'!#REF!),"")</f>
        <v>#REF!</v>
      </c>
      <c r="AJ32" s="25" t="e">
        <f>IF(AND('Mapa final'!#REF!="Media",'Mapa final'!#REF!="Catastrófico"),CONCATENATE("R7C",'Mapa final'!#REF!),"")</f>
        <v>#REF!</v>
      </c>
      <c r="AK32" s="25" t="e">
        <f>IF(AND('Mapa final'!#REF!="Media",'Mapa final'!#REF!="Catastrófico"),CONCATENATE("R7C",'Mapa final'!#REF!),"")</f>
        <v>#REF!</v>
      </c>
      <c r="AL32" s="25" t="e">
        <f>IF(AND('Mapa final'!#REF!="Media",'Mapa final'!#REF!="Catastrófico"),CONCATENATE("R7C",'Mapa final'!#REF!),"")</f>
        <v>#REF!</v>
      </c>
      <c r="AM32" s="26" t="e">
        <f>IF(AND('Mapa final'!#REF!="Media",'Mapa final'!#REF!="Catastrófico"),CONCATENATE("R7C",'Mapa final'!#REF!),"")</f>
        <v>#REF!</v>
      </c>
      <c r="AN32" s="1"/>
      <c r="AO32" s="289"/>
      <c r="AP32" s="235"/>
      <c r="AQ32" s="235"/>
      <c r="AR32" s="235"/>
      <c r="AS32" s="235"/>
      <c r="AT32" s="290"/>
    </row>
    <row r="33" spans="2:46" ht="15" customHeight="1" x14ac:dyDescent="0.25">
      <c r="B33" s="280"/>
      <c r="C33" s="235"/>
      <c r="D33" s="236"/>
      <c r="E33" s="247"/>
      <c r="F33" s="235"/>
      <c r="G33" s="235"/>
      <c r="H33" s="235"/>
      <c r="I33" s="236"/>
      <c r="J33" s="36" t="e">
        <f>IF(AND('Mapa final'!#REF!="Media",'Mapa final'!#REF!="Leve"),CONCATENATE("R8C",'Mapa final'!#REF!),"")</f>
        <v>#REF!</v>
      </c>
      <c r="K33" s="37" t="e">
        <f>IF(AND('Mapa final'!#REF!="Media",'Mapa final'!#REF!="Leve"),CONCATENATE("R8C",'Mapa final'!#REF!),"")</f>
        <v>#REF!</v>
      </c>
      <c r="L33" s="37" t="e">
        <f>IF(AND('Mapa final'!#REF!="Media",'Mapa final'!#REF!="Leve"),CONCATENATE("R8C",'Mapa final'!#REF!),"")</f>
        <v>#REF!</v>
      </c>
      <c r="M33" s="37" t="e">
        <f>IF(AND('Mapa final'!#REF!="Media",'Mapa final'!#REF!="Leve"),CONCATENATE("R8C",'Mapa final'!#REF!),"")</f>
        <v>#REF!</v>
      </c>
      <c r="N33" s="37" t="e">
        <f>IF(AND('Mapa final'!#REF!="Media",'Mapa final'!#REF!="Leve"),CONCATENATE("R8C",'Mapa final'!#REF!),"")</f>
        <v>#REF!</v>
      </c>
      <c r="O33" s="38" t="e">
        <f>IF(AND('Mapa final'!#REF!="Media",'Mapa final'!#REF!="Leve"),CONCATENATE("R8C",'Mapa final'!#REF!),"")</f>
        <v>#REF!</v>
      </c>
      <c r="P33" s="36" t="e">
        <f>IF(AND('Mapa final'!#REF!="Media",'Mapa final'!#REF!="Menor"),CONCATENATE("R8C",'Mapa final'!#REF!),"")</f>
        <v>#REF!</v>
      </c>
      <c r="Q33" s="37" t="e">
        <f>IF(AND('Mapa final'!#REF!="Media",'Mapa final'!#REF!="Menor"),CONCATENATE("R8C",'Mapa final'!#REF!),"")</f>
        <v>#REF!</v>
      </c>
      <c r="R33" s="37" t="e">
        <f>IF(AND('Mapa final'!#REF!="Media",'Mapa final'!#REF!="Menor"),CONCATENATE("R8C",'Mapa final'!#REF!),"")</f>
        <v>#REF!</v>
      </c>
      <c r="S33" s="37" t="e">
        <f>IF(AND('Mapa final'!#REF!="Media",'Mapa final'!#REF!="Menor"),CONCATENATE("R8C",'Mapa final'!#REF!),"")</f>
        <v>#REF!</v>
      </c>
      <c r="T33" s="37" t="e">
        <f>IF(AND('Mapa final'!#REF!="Media",'Mapa final'!#REF!="Menor"),CONCATENATE("R8C",'Mapa final'!#REF!),"")</f>
        <v>#REF!</v>
      </c>
      <c r="U33" s="38" t="e">
        <f>IF(AND('Mapa final'!#REF!="Media",'Mapa final'!#REF!="Menor"),CONCATENATE("R8C",'Mapa final'!#REF!),"")</f>
        <v>#REF!</v>
      </c>
      <c r="V33" s="36" t="e">
        <f>IF(AND('Mapa final'!#REF!="Media",'Mapa final'!#REF!="Moderado"),CONCATENATE("R8C",'Mapa final'!#REF!),"")</f>
        <v>#REF!</v>
      </c>
      <c r="W33" s="37" t="e">
        <f>IF(AND('Mapa final'!#REF!="Media",'Mapa final'!#REF!="Moderado"),CONCATENATE("R8C",'Mapa final'!#REF!),"")</f>
        <v>#REF!</v>
      </c>
      <c r="X33" s="37" t="e">
        <f>IF(AND('Mapa final'!#REF!="Media",'Mapa final'!#REF!="Moderado"),CONCATENATE("R8C",'Mapa final'!#REF!),"")</f>
        <v>#REF!</v>
      </c>
      <c r="Y33" s="37" t="e">
        <f>IF(AND('Mapa final'!#REF!="Media",'Mapa final'!#REF!="Moderado"),CONCATENATE("R8C",'Mapa final'!#REF!),"")</f>
        <v>#REF!</v>
      </c>
      <c r="Z33" s="37" t="e">
        <f>IF(AND('Mapa final'!#REF!="Media",'Mapa final'!#REF!="Moderado"),CONCATENATE("R8C",'Mapa final'!#REF!),"")</f>
        <v>#REF!</v>
      </c>
      <c r="AA33" s="38" t="e">
        <f>IF(AND('Mapa final'!#REF!="Media",'Mapa final'!#REF!="Moderado"),CONCATENATE("R8C",'Mapa final'!#REF!),"")</f>
        <v>#REF!</v>
      </c>
      <c r="AB33" s="21" t="e">
        <f>IF(AND('Mapa final'!#REF!="Media",'Mapa final'!#REF!="Mayor"),CONCATENATE("R8C",'Mapa final'!#REF!),"")</f>
        <v>#REF!</v>
      </c>
      <c r="AC33" s="22" t="e">
        <f>IF(AND('Mapa final'!#REF!="Media",'Mapa final'!#REF!="Mayor"),CONCATENATE("R8C",'Mapa final'!#REF!),"")</f>
        <v>#REF!</v>
      </c>
      <c r="AD33" s="22" t="e">
        <f>IF(AND('Mapa final'!#REF!="Media",'Mapa final'!#REF!="Mayor"),CONCATENATE("R8C",'Mapa final'!#REF!),"")</f>
        <v>#REF!</v>
      </c>
      <c r="AE33" s="22" t="e">
        <f>IF(AND('Mapa final'!#REF!="Media",'Mapa final'!#REF!="Mayor"),CONCATENATE("R8C",'Mapa final'!#REF!),"")</f>
        <v>#REF!</v>
      </c>
      <c r="AF33" s="22" t="e">
        <f>IF(AND('Mapa final'!#REF!="Media",'Mapa final'!#REF!="Mayor"),CONCATENATE("R8C",'Mapa final'!#REF!),"")</f>
        <v>#REF!</v>
      </c>
      <c r="AG33" s="23" t="e">
        <f>IF(AND('Mapa final'!#REF!="Media",'Mapa final'!#REF!="Mayor"),CONCATENATE("R8C",'Mapa final'!#REF!),"")</f>
        <v>#REF!</v>
      </c>
      <c r="AH33" s="24" t="e">
        <f>IF(AND('Mapa final'!#REF!="Media",'Mapa final'!#REF!="Catastrófico"),CONCATENATE("R8C",'Mapa final'!#REF!),"")</f>
        <v>#REF!</v>
      </c>
      <c r="AI33" s="25" t="e">
        <f>IF(AND('Mapa final'!#REF!="Media",'Mapa final'!#REF!="Catastrófico"),CONCATENATE("R8C",'Mapa final'!#REF!),"")</f>
        <v>#REF!</v>
      </c>
      <c r="AJ33" s="25" t="e">
        <f>IF(AND('Mapa final'!#REF!="Media",'Mapa final'!#REF!="Catastrófico"),CONCATENATE("R8C",'Mapa final'!#REF!),"")</f>
        <v>#REF!</v>
      </c>
      <c r="AK33" s="25" t="e">
        <f>IF(AND('Mapa final'!#REF!="Media",'Mapa final'!#REF!="Catastrófico"),CONCATENATE("R8C",'Mapa final'!#REF!),"")</f>
        <v>#REF!</v>
      </c>
      <c r="AL33" s="25" t="e">
        <f>IF(AND('Mapa final'!#REF!="Media",'Mapa final'!#REF!="Catastrófico"),CONCATENATE("R8C",'Mapa final'!#REF!),"")</f>
        <v>#REF!</v>
      </c>
      <c r="AM33" s="26" t="e">
        <f>IF(AND('Mapa final'!#REF!="Media",'Mapa final'!#REF!="Catastrófico"),CONCATENATE("R8C",'Mapa final'!#REF!),"")</f>
        <v>#REF!</v>
      </c>
      <c r="AN33" s="1"/>
      <c r="AO33" s="289"/>
      <c r="AP33" s="235"/>
      <c r="AQ33" s="235"/>
      <c r="AR33" s="235"/>
      <c r="AS33" s="235"/>
      <c r="AT33" s="290"/>
    </row>
    <row r="34" spans="2:46" ht="15" customHeight="1" x14ac:dyDescent="0.25">
      <c r="B34" s="280"/>
      <c r="C34" s="235"/>
      <c r="D34" s="236"/>
      <c r="E34" s="247"/>
      <c r="F34" s="235"/>
      <c r="G34" s="235"/>
      <c r="H34" s="235"/>
      <c r="I34" s="236"/>
      <c r="J34" s="36" t="e">
        <f>IF(AND('Mapa final'!#REF!="Media",'Mapa final'!#REF!="Leve"),CONCATENATE("R9C",'Mapa final'!#REF!),"")</f>
        <v>#REF!</v>
      </c>
      <c r="K34" s="37" t="e">
        <f>IF(AND('Mapa final'!#REF!="Media",'Mapa final'!#REF!="Leve"),CONCATENATE("R9C",'Mapa final'!#REF!),"")</f>
        <v>#REF!</v>
      </c>
      <c r="L34" s="37" t="e">
        <f>IF(AND('Mapa final'!#REF!="Media",'Mapa final'!#REF!="Leve"),CONCATENATE("R9C",'Mapa final'!#REF!),"")</f>
        <v>#REF!</v>
      </c>
      <c r="M34" s="37" t="e">
        <f>IF(AND('Mapa final'!#REF!="Media",'Mapa final'!#REF!="Leve"),CONCATENATE("R9C",'Mapa final'!#REF!),"")</f>
        <v>#REF!</v>
      </c>
      <c r="N34" s="37" t="e">
        <f>IF(AND('Mapa final'!#REF!="Media",'Mapa final'!#REF!="Leve"),CONCATENATE("R9C",'Mapa final'!#REF!),"")</f>
        <v>#REF!</v>
      </c>
      <c r="O34" s="38" t="e">
        <f>IF(AND('Mapa final'!#REF!="Media",'Mapa final'!#REF!="Leve"),CONCATENATE("R9C",'Mapa final'!#REF!),"")</f>
        <v>#REF!</v>
      </c>
      <c r="P34" s="36" t="e">
        <f>IF(AND('Mapa final'!#REF!="Media",'Mapa final'!#REF!="Menor"),CONCATENATE("R9C",'Mapa final'!#REF!),"")</f>
        <v>#REF!</v>
      </c>
      <c r="Q34" s="37" t="e">
        <f>IF(AND('Mapa final'!#REF!="Media",'Mapa final'!#REF!="Menor"),CONCATENATE("R9C",'Mapa final'!#REF!),"")</f>
        <v>#REF!</v>
      </c>
      <c r="R34" s="37" t="e">
        <f>IF(AND('Mapa final'!#REF!="Media",'Mapa final'!#REF!="Menor"),CONCATENATE("R9C",'Mapa final'!#REF!),"")</f>
        <v>#REF!</v>
      </c>
      <c r="S34" s="37" t="e">
        <f>IF(AND('Mapa final'!#REF!="Media",'Mapa final'!#REF!="Menor"),CONCATENATE("R9C",'Mapa final'!#REF!),"")</f>
        <v>#REF!</v>
      </c>
      <c r="T34" s="37" t="e">
        <f>IF(AND('Mapa final'!#REF!="Media",'Mapa final'!#REF!="Menor"),CONCATENATE("R9C",'Mapa final'!#REF!),"")</f>
        <v>#REF!</v>
      </c>
      <c r="U34" s="38" t="e">
        <f>IF(AND('Mapa final'!#REF!="Media",'Mapa final'!#REF!="Menor"),CONCATENATE("R9C",'Mapa final'!#REF!),"")</f>
        <v>#REF!</v>
      </c>
      <c r="V34" s="36" t="e">
        <f>IF(AND('Mapa final'!#REF!="Media",'Mapa final'!#REF!="Moderado"),CONCATENATE("R9C",'Mapa final'!#REF!),"")</f>
        <v>#REF!</v>
      </c>
      <c r="W34" s="37" t="e">
        <f>IF(AND('Mapa final'!#REF!="Media",'Mapa final'!#REF!="Moderado"),CONCATENATE("R9C",'Mapa final'!#REF!),"")</f>
        <v>#REF!</v>
      </c>
      <c r="X34" s="37" t="e">
        <f>IF(AND('Mapa final'!#REF!="Media",'Mapa final'!#REF!="Moderado"),CONCATENATE("R9C",'Mapa final'!#REF!),"")</f>
        <v>#REF!</v>
      </c>
      <c r="Y34" s="37" t="e">
        <f>IF(AND('Mapa final'!#REF!="Media",'Mapa final'!#REF!="Moderado"),CONCATENATE("R9C",'Mapa final'!#REF!),"")</f>
        <v>#REF!</v>
      </c>
      <c r="Z34" s="37" t="e">
        <f>IF(AND('Mapa final'!#REF!="Media",'Mapa final'!#REF!="Moderado"),CONCATENATE("R9C",'Mapa final'!#REF!),"")</f>
        <v>#REF!</v>
      </c>
      <c r="AA34" s="38" t="e">
        <f>IF(AND('Mapa final'!#REF!="Media",'Mapa final'!#REF!="Moderado"),CONCATENATE("R9C",'Mapa final'!#REF!),"")</f>
        <v>#REF!</v>
      </c>
      <c r="AB34" s="21" t="e">
        <f>IF(AND('Mapa final'!#REF!="Media",'Mapa final'!#REF!="Mayor"),CONCATENATE("R9C",'Mapa final'!#REF!),"")</f>
        <v>#REF!</v>
      </c>
      <c r="AC34" s="22" t="e">
        <f>IF(AND('Mapa final'!#REF!="Media",'Mapa final'!#REF!="Mayor"),CONCATENATE("R9C",'Mapa final'!#REF!),"")</f>
        <v>#REF!</v>
      </c>
      <c r="AD34" s="22" t="e">
        <f>IF(AND('Mapa final'!#REF!="Media",'Mapa final'!#REF!="Mayor"),CONCATENATE("R9C",'Mapa final'!#REF!),"")</f>
        <v>#REF!</v>
      </c>
      <c r="AE34" s="22" t="e">
        <f>IF(AND('Mapa final'!#REF!="Media",'Mapa final'!#REF!="Mayor"),CONCATENATE("R9C",'Mapa final'!#REF!),"")</f>
        <v>#REF!</v>
      </c>
      <c r="AF34" s="22" t="e">
        <f>IF(AND('Mapa final'!#REF!="Media",'Mapa final'!#REF!="Mayor"),CONCATENATE("R9C",'Mapa final'!#REF!),"")</f>
        <v>#REF!</v>
      </c>
      <c r="AG34" s="23" t="e">
        <f>IF(AND('Mapa final'!#REF!="Media",'Mapa final'!#REF!="Mayor"),CONCATENATE("R9C",'Mapa final'!#REF!),"")</f>
        <v>#REF!</v>
      </c>
      <c r="AH34" s="24" t="e">
        <f>IF(AND('Mapa final'!#REF!="Media",'Mapa final'!#REF!="Catastrófico"),CONCATENATE("R9C",'Mapa final'!#REF!),"")</f>
        <v>#REF!</v>
      </c>
      <c r="AI34" s="25" t="e">
        <f>IF(AND('Mapa final'!#REF!="Media",'Mapa final'!#REF!="Catastrófico"),CONCATENATE("R9C",'Mapa final'!#REF!),"")</f>
        <v>#REF!</v>
      </c>
      <c r="AJ34" s="25" t="e">
        <f>IF(AND('Mapa final'!#REF!="Media",'Mapa final'!#REF!="Catastrófico"),CONCATENATE("R9C",'Mapa final'!#REF!),"")</f>
        <v>#REF!</v>
      </c>
      <c r="AK34" s="25" t="e">
        <f>IF(AND('Mapa final'!#REF!="Media",'Mapa final'!#REF!="Catastrófico"),CONCATENATE("R9C",'Mapa final'!#REF!),"")</f>
        <v>#REF!</v>
      </c>
      <c r="AL34" s="25" t="e">
        <f>IF(AND('Mapa final'!#REF!="Media",'Mapa final'!#REF!="Catastrófico"),CONCATENATE("R9C",'Mapa final'!#REF!),"")</f>
        <v>#REF!</v>
      </c>
      <c r="AM34" s="26" t="e">
        <f>IF(AND('Mapa final'!#REF!="Media",'Mapa final'!#REF!="Catastrófico"),CONCATENATE("R9C",'Mapa final'!#REF!),"")</f>
        <v>#REF!</v>
      </c>
      <c r="AN34" s="1"/>
      <c r="AO34" s="289"/>
      <c r="AP34" s="235"/>
      <c r="AQ34" s="235"/>
      <c r="AR34" s="235"/>
      <c r="AS34" s="235"/>
      <c r="AT34" s="290"/>
    </row>
    <row r="35" spans="2:46" ht="15.75" customHeight="1" x14ac:dyDescent="0.25">
      <c r="B35" s="280"/>
      <c r="C35" s="235"/>
      <c r="D35" s="236"/>
      <c r="E35" s="270"/>
      <c r="F35" s="271"/>
      <c r="G35" s="271"/>
      <c r="H35" s="271"/>
      <c r="I35" s="274"/>
      <c r="J35" s="36" t="e">
        <f>IF(AND('Mapa final'!#REF!="Media",'Mapa final'!#REF!="Leve"),CONCATENATE("R10C",'Mapa final'!#REF!),"")</f>
        <v>#REF!</v>
      </c>
      <c r="K35" s="37" t="e">
        <f>IF(AND('Mapa final'!#REF!="Media",'Mapa final'!#REF!="Leve"),CONCATENATE("R10C",'Mapa final'!#REF!),"")</f>
        <v>#REF!</v>
      </c>
      <c r="L35" s="37" t="e">
        <f>IF(AND('Mapa final'!#REF!="Media",'Mapa final'!#REF!="Leve"),CONCATENATE("R10C",'Mapa final'!#REF!),"")</f>
        <v>#REF!</v>
      </c>
      <c r="M35" s="37" t="e">
        <f>IF(AND('Mapa final'!#REF!="Media",'Mapa final'!#REF!="Leve"),CONCATENATE("R10C",'Mapa final'!#REF!),"")</f>
        <v>#REF!</v>
      </c>
      <c r="N35" s="37" t="e">
        <f>IF(AND('Mapa final'!#REF!="Media",'Mapa final'!#REF!="Leve"),CONCATENATE("R10C",'Mapa final'!#REF!),"")</f>
        <v>#REF!</v>
      </c>
      <c r="O35" s="38" t="e">
        <f>IF(AND('Mapa final'!#REF!="Media",'Mapa final'!#REF!="Leve"),CONCATENATE("R10C",'Mapa final'!#REF!),"")</f>
        <v>#REF!</v>
      </c>
      <c r="P35" s="36" t="e">
        <f>IF(AND('Mapa final'!#REF!="Media",'Mapa final'!#REF!="Menor"),CONCATENATE("R10C",'Mapa final'!#REF!),"")</f>
        <v>#REF!</v>
      </c>
      <c r="Q35" s="37" t="e">
        <f>IF(AND('Mapa final'!#REF!="Media",'Mapa final'!#REF!="Menor"),CONCATENATE("R10C",'Mapa final'!#REF!),"")</f>
        <v>#REF!</v>
      </c>
      <c r="R35" s="37" t="e">
        <f>IF(AND('Mapa final'!#REF!="Media",'Mapa final'!#REF!="Menor"),CONCATENATE("R10C",'Mapa final'!#REF!),"")</f>
        <v>#REF!</v>
      </c>
      <c r="S35" s="37" t="e">
        <f>IF(AND('Mapa final'!#REF!="Media",'Mapa final'!#REF!="Menor"),CONCATENATE("R10C",'Mapa final'!#REF!),"")</f>
        <v>#REF!</v>
      </c>
      <c r="T35" s="37" t="e">
        <f>IF(AND('Mapa final'!#REF!="Media",'Mapa final'!#REF!="Menor"),CONCATENATE("R10C",'Mapa final'!#REF!),"")</f>
        <v>#REF!</v>
      </c>
      <c r="U35" s="38" t="e">
        <f>IF(AND('Mapa final'!#REF!="Media",'Mapa final'!#REF!="Menor"),CONCATENATE("R10C",'Mapa final'!#REF!),"")</f>
        <v>#REF!</v>
      </c>
      <c r="V35" s="36" t="e">
        <f>IF(AND('Mapa final'!#REF!="Media",'Mapa final'!#REF!="Moderado"),CONCATENATE("R10C",'Mapa final'!#REF!),"")</f>
        <v>#REF!</v>
      </c>
      <c r="W35" s="37" t="e">
        <f>IF(AND('Mapa final'!#REF!="Media",'Mapa final'!#REF!="Moderado"),CONCATENATE("R10C",'Mapa final'!#REF!),"")</f>
        <v>#REF!</v>
      </c>
      <c r="X35" s="37" t="e">
        <f>IF(AND('Mapa final'!#REF!="Media",'Mapa final'!#REF!="Moderado"),CONCATENATE("R10C",'Mapa final'!#REF!),"")</f>
        <v>#REF!</v>
      </c>
      <c r="Y35" s="37" t="e">
        <f>IF(AND('Mapa final'!#REF!="Media",'Mapa final'!#REF!="Moderado"),CONCATENATE("R10C",'Mapa final'!#REF!),"")</f>
        <v>#REF!</v>
      </c>
      <c r="Z35" s="37" t="e">
        <f>IF(AND('Mapa final'!#REF!="Media",'Mapa final'!#REF!="Moderado"),CONCATENATE("R10C",'Mapa final'!#REF!),"")</f>
        <v>#REF!</v>
      </c>
      <c r="AA35" s="38" t="e">
        <f>IF(AND('Mapa final'!#REF!="Media",'Mapa final'!#REF!="Moderado"),CONCATENATE("R10C",'Mapa final'!#REF!),"")</f>
        <v>#REF!</v>
      </c>
      <c r="AB35" s="27" t="e">
        <f>IF(AND('Mapa final'!#REF!="Media",'Mapa final'!#REF!="Mayor"),CONCATENATE("R10C",'Mapa final'!#REF!),"")</f>
        <v>#REF!</v>
      </c>
      <c r="AC35" s="28" t="e">
        <f>IF(AND('Mapa final'!#REF!="Media",'Mapa final'!#REF!="Mayor"),CONCATENATE("R10C",'Mapa final'!#REF!),"")</f>
        <v>#REF!</v>
      </c>
      <c r="AD35" s="28" t="e">
        <f>IF(AND('Mapa final'!#REF!="Media",'Mapa final'!#REF!="Mayor"),CONCATENATE("R10C",'Mapa final'!#REF!),"")</f>
        <v>#REF!</v>
      </c>
      <c r="AE35" s="28" t="e">
        <f>IF(AND('Mapa final'!#REF!="Media",'Mapa final'!#REF!="Mayor"),CONCATENATE("R10C",'Mapa final'!#REF!),"")</f>
        <v>#REF!</v>
      </c>
      <c r="AF35" s="28" t="e">
        <f>IF(AND('Mapa final'!#REF!="Media",'Mapa final'!#REF!="Mayor"),CONCATENATE("R10C",'Mapa final'!#REF!),"")</f>
        <v>#REF!</v>
      </c>
      <c r="AG35" s="29" t="e">
        <f>IF(AND('Mapa final'!#REF!="Media",'Mapa final'!#REF!="Mayor"),CONCATENATE("R10C",'Mapa final'!#REF!),"")</f>
        <v>#REF!</v>
      </c>
      <c r="AH35" s="30" t="e">
        <f>IF(AND('Mapa final'!#REF!="Media",'Mapa final'!#REF!="Catastrófico"),CONCATENATE("R10C",'Mapa final'!#REF!),"")</f>
        <v>#REF!</v>
      </c>
      <c r="AI35" s="31" t="e">
        <f>IF(AND('Mapa final'!#REF!="Media",'Mapa final'!#REF!="Catastrófico"),CONCATENATE("R10C",'Mapa final'!#REF!),"")</f>
        <v>#REF!</v>
      </c>
      <c r="AJ35" s="31" t="e">
        <f>IF(AND('Mapa final'!#REF!="Media",'Mapa final'!#REF!="Catastrófico"),CONCATENATE("R10C",'Mapa final'!#REF!),"")</f>
        <v>#REF!</v>
      </c>
      <c r="AK35" s="31" t="e">
        <f>IF(AND('Mapa final'!#REF!="Media",'Mapa final'!#REF!="Catastrófico"),CONCATENATE("R10C",'Mapa final'!#REF!),"")</f>
        <v>#REF!</v>
      </c>
      <c r="AL35" s="31" t="e">
        <f>IF(AND('Mapa final'!#REF!="Media",'Mapa final'!#REF!="Catastrófico"),CONCATENATE("R10C",'Mapa final'!#REF!),"")</f>
        <v>#REF!</v>
      </c>
      <c r="AM35" s="32" t="e">
        <f>IF(AND('Mapa final'!#REF!="Media",'Mapa final'!#REF!="Catastrófico"),CONCATENATE("R10C",'Mapa final'!#REF!),"")</f>
        <v>#REF!</v>
      </c>
      <c r="AN35" s="1"/>
      <c r="AO35" s="291"/>
      <c r="AP35" s="292"/>
      <c r="AQ35" s="292"/>
      <c r="AR35" s="292"/>
      <c r="AS35" s="292"/>
      <c r="AT35" s="293"/>
    </row>
    <row r="36" spans="2:46" ht="15" customHeight="1" x14ac:dyDescent="0.25">
      <c r="B36" s="280"/>
      <c r="C36" s="235"/>
      <c r="D36" s="236"/>
      <c r="E36" s="298" t="s">
        <v>101</v>
      </c>
      <c r="F36" s="269"/>
      <c r="G36" s="269"/>
      <c r="H36" s="269"/>
      <c r="I36" s="269"/>
      <c r="J36" s="42" t="str">
        <f>IF(AND('Mapa final'!$Y$16="Baja",'Mapa final'!$AA$16="Leve"),CONCATENATE("R1C",'Mapa final'!$O$16),"")</f>
        <v/>
      </c>
      <c r="K36" s="43" t="str">
        <f>IF(AND('Mapa final'!$Y$17="Baja",'Mapa final'!$AA$17="Leve"),CONCATENATE("R1C",'Mapa final'!$O$17),"")</f>
        <v/>
      </c>
      <c r="L36" s="43" t="str">
        <f>IF(AND('Mapa final'!$Y$18="Baja",'Mapa final'!$AA$18="Leve"),CONCATENATE("R1C",'Mapa final'!$O$18),"")</f>
        <v/>
      </c>
      <c r="M36" s="43" t="e">
        <f>IF(AND('Mapa final'!#REF!="Baja",'Mapa final'!#REF!="Leve"),CONCATENATE("R1C",'Mapa final'!#REF!),"")</f>
        <v>#REF!</v>
      </c>
      <c r="N36" s="43" t="e">
        <f>IF(AND('Mapa final'!#REF!="Baja",'Mapa final'!#REF!="Leve"),CONCATENATE("R1C",'Mapa final'!#REF!),"")</f>
        <v>#REF!</v>
      </c>
      <c r="O36" s="44" t="e">
        <f>IF(AND('Mapa final'!#REF!="Baja",'Mapa final'!#REF!="Leve"),CONCATENATE("R1C",'Mapa final'!#REF!),"")</f>
        <v>#REF!</v>
      </c>
      <c r="P36" s="33" t="str">
        <f>IF(AND('Mapa final'!$Y$16="Baja",'Mapa final'!$AA$16="Menor"),CONCATENATE("R1C",'Mapa final'!$O$16),"")</f>
        <v>R1C1</v>
      </c>
      <c r="Q36" s="34" t="str">
        <f>IF(AND('Mapa final'!$Y$17="Baja",'Mapa final'!$AA$17="Menor"),CONCATENATE("R1C",'Mapa final'!$O$17),"")</f>
        <v>R1C2</v>
      </c>
      <c r="R36" s="34" t="str">
        <f>IF(AND('Mapa final'!$Y$18="Baja",'Mapa final'!$AA$18="Menor"),CONCATENATE("R1C",'Mapa final'!$O$18),"")</f>
        <v/>
      </c>
      <c r="S36" s="34" t="e">
        <f>IF(AND('Mapa final'!#REF!="Baja",'Mapa final'!#REF!="Menor"),CONCATENATE("R1C",'Mapa final'!#REF!),"")</f>
        <v>#REF!</v>
      </c>
      <c r="T36" s="34" t="e">
        <f>IF(AND('Mapa final'!#REF!="Baja",'Mapa final'!#REF!="Menor"),CONCATENATE("R1C",'Mapa final'!#REF!),"")</f>
        <v>#REF!</v>
      </c>
      <c r="U36" s="35" t="e">
        <f>IF(AND('Mapa final'!#REF!="Baja",'Mapa final'!#REF!="Menor"),CONCATENATE("R1C",'Mapa final'!#REF!),"")</f>
        <v>#REF!</v>
      </c>
      <c r="V36" s="33" t="str">
        <f>IF(AND('Mapa final'!$Y$16="Baja",'Mapa final'!$AA$16="Moderado"),CONCATENATE("R1C",'Mapa final'!$O$16),"")</f>
        <v/>
      </c>
      <c r="W36" s="34" t="str">
        <f>IF(AND('Mapa final'!$Y$17="Baja",'Mapa final'!$AA$17="Moderado"),CONCATENATE("R1C",'Mapa final'!$O$17),"")</f>
        <v/>
      </c>
      <c r="X36" s="34" t="str">
        <f>IF(AND('Mapa final'!$Y$18="Baja",'Mapa final'!$AA$18="Moderado"),CONCATENATE("R1C",'Mapa final'!$O$18),"")</f>
        <v/>
      </c>
      <c r="Y36" s="34" t="e">
        <f>IF(AND('Mapa final'!#REF!="Baja",'Mapa final'!#REF!="Moderado"),CONCATENATE("R1C",'Mapa final'!#REF!),"")</f>
        <v>#REF!</v>
      </c>
      <c r="Z36" s="34" t="e">
        <f>IF(AND('Mapa final'!#REF!="Baja",'Mapa final'!#REF!="Moderado"),CONCATENATE("R1C",'Mapa final'!#REF!),"")</f>
        <v>#REF!</v>
      </c>
      <c r="AA36" s="35" t="e">
        <f>IF(AND('Mapa final'!#REF!="Baja",'Mapa final'!#REF!="Moderado"),CONCATENATE("R1C",'Mapa final'!#REF!),"")</f>
        <v>#REF!</v>
      </c>
      <c r="AB36" s="15" t="str">
        <f>IF(AND('Mapa final'!$Y$16="Baja",'Mapa final'!$AA$16="Mayor"),CONCATENATE("R1C",'Mapa final'!$O$16),"")</f>
        <v/>
      </c>
      <c r="AC36" s="16" t="str">
        <f>IF(AND('Mapa final'!$Y$17="Baja",'Mapa final'!$AA$17="Mayor"),CONCATENATE("R1C",'Mapa final'!$O$17),"")</f>
        <v/>
      </c>
      <c r="AD36" s="16" t="str">
        <f>IF(AND('Mapa final'!$Y$18="Baja",'Mapa final'!$AA$18="Mayor"),CONCATENATE("R1C",'Mapa final'!$O$18),"")</f>
        <v/>
      </c>
      <c r="AE36" s="16" t="e">
        <f>IF(AND('Mapa final'!#REF!="Baja",'Mapa final'!#REF!="Mayor"),CONCATENATE("R1C",'Mapa final'!#REF!),"")</f>
        <v>#REF!</v>
      </c>
      <c r="AF36" s="16" t="e">
        <f>IF(AND('Mapa final'!#REF!="Baja",'Mapa final'!#REF!="Mayor"),CONCATENATE("R1C",'Mapa final'!#REF!),"")</f>
        <v>#REF!</v>
      </c>
      <c r="AG36" s="17" t="e">
        <f>IF(AND('Mapa final'!#REF!="Baja",'Mapa final'!#REF!="Mayor"),CONCATENATE("R1C",'Mapa final'!#REF!),"")</f>
        <v>#REF!</v>
      </c>
      <c r="AH36" s="18" t="str">
        <f>IF(AND('Mapa final'!$Y$16="Baja",'Mapa final'!$AA$16="Catastrófico"),CONCATENATE("R1C",'Mapa final'!$O$16),"")</f>
        <v/>
      </c>
      <c r="AI36" s="19" t="str">
        <f>IF(AND('Mapa final'!$Y$17="Baja",'Mapa final'!$AA$17="Catastrófico"),CONCATENATE("R1C",'Mapa final'!$O$17),"")</f>
        <v/>
      </c>
      <c r="AJ36" s="19" t="str">
        <f>IF(AND('Mapa final'!$Y$18="Baja",'Mapa final'!$AA$18="Catastrófico"),CONCATENATE("R1C",'Mapa final'!$O$18),"")</f>
        <v/>
      </c>
      <c r="AK36" s="19" t="e">
        <f>IF(AND('Mapa final'!#REF!="Baja",'Mapa final'!#REF!="Catastrófico"),CONCATENATE("R1C",'Mapa final'!#REF!),"")</f>
        <v>#REF!</v>
      </c>
      <c r="AL36" s="19" t="e">
        <f>IF(AND('Mapa final'!#REF!="Baja",'Mapa final'!#REF!="Catastrófico"),CONCATENATE("R1C",'Mapa final'!#REF!),"")</f>
        <v>#REF!</v>
      </c>
      <c r="AM36" s="20" t="e">
        <f>IF(AND('Mapa final'!#REF!="Baja",'Mapa final'!#REF!="Catastrófico"),CONCATENATE("R1C",'Mapa final'!#REF!),"")</f>
        <v>#REF!</v>
      </c>
      <c r="AN36" s="1"/>
      <c r="AO36" s="302" t="s">
        <v>102</v>
      </c>
      <c r="AP36" s="287"/>
      <c r="AQ36" s="287"/>
      <c r="AR36" s="287"/>
      <c r="AS36" s="287"/>
      <c r="AT36" s="288"/>
    </row>
    <row r="37" spans="2:46" ht="15" customHeight="1" x14ac:dyDescent="0.25">
      <c r="B37" s="280"/>
      <c r="C37" s="235"/>
      <c r="D37" s="236"/>
      <c r="E37" s="247"/>
      <c r="F37" s="235"/>
      <c r="G37" s="235"/>
      <c r="H37" s="235"/>
      <c r="I37" s="235"/>
      <c r="J37" s="45" t="str">
        <f>IF(AND('Mapa final'!$Y$21="Baja",'Mapa final'!$AA$21="Leve"),CONCATENATE("R2C",'Mapa final'!$O$21),"")</f>
        <v/>
      </c>
      <c r="K37" s="46" t="e">
        <f>IF(AND('Mapa final'!#REF!="Baja",'Mapa final'!#REF!="Leve"),CONCATENATE("R2C",'Mapa final'!#REF!),"")</f>
        <v>#REF!</v>
      </c>
      <c r="L37" s="46" t="e">
        <f>IF(AND('Mapa final'!#REF!="Baja",'Mapa final'!#REF!="Leve"),CONCATENATE("R2C",'Mapa final'!#REF!),"")</f>
        <v>#REF!</v>
      </c>
      <c r="M37" s="46" t="e">
        <f>IF(AND('Mapa final'!#REF!="Baja",'Mapa final'!#REF!="Leve"),CONCATENATE("R2C",'Mapa final'!#REF!),"")</f>
        <v>#REF!</v>
      </c>
      <c r="N37" s="46" t="str">
        <f>IF(AND('Mapa final'!$Y$22="Baja",'Mapa final'!$AA$22="Leve"),CONCATENATE("R2C",'Mapa final'!$O$22),"")</f>
        <v/>
      </c>
      <c r="O37" s="47" t="str">
        <f>IF(AND('Mapa final'!$Y$23="Baja",'Mapa final'!$AA$23="Leve"),CONCATENATE("R2C",'Mapa final'!$O$23),"")</f>
        <v/>
      </c>
      <c r="P37" s="36" t="str">
        <f>IF(AND('Mapa final'!$Y$21="Baja",'Mapa final'!$AA$21="Menor"),CONCATENATE("R2C",'Mapa final'!$O$21),"")</f>
        <v/>
      </c>
      <c r="Q37" s="37" t="e">
        <f>IF(AND('Mapa final'!#REF!="Baja",'Mapa final'!#REF!="Menor"),CONCATENATE("R2C",'Mapa final'!#REF!),"")</f>
        <v>#REF!</v>
      </c>
      <c r="R37" s="37" t="e">
        <f>IF(AND('Mapa final'!#REF!="Baja",'Mapa final'!#REF!="Menor"),CONCATENATE("R2C",'Mapa final'!#REF!),"")</f>
        <v>#REF!</v>
      </c>
      <c r="S37" s="37" t="e">
        <f>IF(AND('Mapa final'!#REF!="Baja",'Mapa final'!#REF!="Menor"),CONCATENATE("R2C",'Mapa final'!#REF!),"")</f>
        <v>#REF!</v>
      </c>
      <c r="T37" s="37" t="str">
        <f>IF(AND('Mapa final'!$Y$22="Baja",'Mapa final'!$AA$22="Menor"),CONCATENATE("R2C",'Mapa final'!$O$22),"")</f>
        <v/>
      </c>
      <c r="U37" s="38" t="str">
        <f>IF(AND('Mapa final'!$Y$23="Baja",'Mapa final'!$AA$23="Menor"),CONCATENATE("R2C",'Mapa final'!$O$23),"")</f>
        <v/>
      </c>
      <c r="V37" s="36" t="str">
        <f>IF(AND('Mapa final'!$Y$21="Baja",'Mapa final'!$AA$21="Moderado"),CONCATENATE("R2C",'Mapa final'!$O$21),"")</f>
        <v/>
      </c>
      <c r="W37" s="37" t="e">
        <f>IF(AND('Mapa final'!#REF!="Baja",'Mapa final'!#REF!="Moderado"),CONCATENATE("R2C",'Mapa final'!#REF!),"")</f>
        <v>#REF!</v>
      </c>
      <c r="X37" s="37" t="e">
        <f>IF(AND('Mapa final'!#REF!="Baja",'Mapa final'!#REF!="Moderado"),CONCATENATE("R2C",'Mapa final'!#REF!),"")</f>
        <v>#REF!</v>
      </c>
      <c r="Y37" s="37" t="e">
        <f>IF(AND('Mapa final'!#REF!="Baja",'Mapa final'!#REF!="Moderado"),CONCATENATE("R2C",'Mapa final'!#REF!),"")</f>
        <v>#REF!</v>
      </c>
      <c r="Z37" s="37" t="str">
        <f>IF(AND('Mapa final'!$Y$22="Baja",'Mapa final'!$AA$22="Moderado"),CONCATENATE("R2C",'Mapa final'!$O$22),"")</f>
        <v>R2C2</v>
      </c>
      <c r="AA37" s="38" t="str">
        <f>IF(AND('Mapa final'!$Y$23="Baja",'Mapa final'!$AA$23="Moderado"),CONCATENATE("R2C",'Mapa final'!$O$23),"")</f>
        <v/>
      </c>
      <c r="AB37" s="21" t="str">
        <f>IF(AND('Mapa final'!$Y$21="Baja",'Mapa final'!$AA$21="Mayor"),CONCATENATE("R2C",'Mapa final'!$O$21),"")</f>
        <v/>
      </c>
      <c r="AC37" s="22" t="e">
        <f>IF(AND('Mapa final'!#REF!="Baja",'Mapa final'!#REF!="Mayor"),CONCATENATE("R2C",'Mapa final'!#REF!),"")</f>
        <v>#REF!</v>
      </c>
      <c r="AD37" s="22" t="e">
        <f>IF(AND('Mapa final'!#REF!="Baja",'Mapa final'!#REF!="Mayor"),CONCATENATE("R2C",'Mapa final'!#REF!),"")</f>
        <v>#REF!</v>
      </c>
      <c r="AE37" s="22" t="e">
        <f>IF(AND('Mapa final'!#REF!="Baja",'Mapa final'!#REF!="Mayor"),CONCATENATE("R2C",'Mapa final'!#REF!),"")</f>
        <v>#REF!</v>
      </c>
      <c r="AF37" s="22" t="str">
        <f>IF(AND('Mapa final'!$Y$22="Baja",'Mapa final'!$AA$22="Mayor"),CONCATENATE("R2C",'Mapa final'!$O$22),"")</f>
        <v/>
      </c>
      <c r="AG37" s="23" t="str">
        <f>IF(AND('Mapa final'!$Y$23="Baja",'Mapa final'!$AA$23="Mayor"),CONCATENATE("R2C",'Mapa final'!$O$23),"")</f>
        <v/>
      </c>
      <c r="AH37" s="24" t="str">
        <f>IF(AND('Mapa final'!$Y$21="Baja",'Mapa final'!$AA$21="Catastrófico"),CONCATENATE("R2C",'Mapa final'!$O$21),"")</f>
        <v/>
      </c>
      <c r="AI37" s="25" t="e">
        <f>IF(AND('Mapa final'!#REF!="Baja",'Mapa final'!#REF!="Catastrófico"),CONCATENATE("R2C",'Mapa final'!#REF!),"")</f>
        <v>#REF!</v>
      </c>
      <c r="AJ37" s="25" t="e">
        <f>IF(AND('Mapa final'!#REF!="Baja",'Mapa final'!#REF!="Catastrófico"),CONCATENATE("R2C",'Mapa final'!#REF!),"")</f>
        <v>#REF!</v>
      </c>
      <c r="AK37" s="25" t="e">
        <f>IF(AND('Mapa final'!#REF!="Baja",'Mapa final'!#REF!="Catastrófico"),CONCATENATE("R2C",'Mapa final'!#REF!),"")</f>
        <v>#REF!</v>
      </c>
      <c r="AL37" s="25" t="str">
        <f>IF(AND('Mapa final'!$Y$22="Baja",'Mapa final'!$AA$22="Catastrófico"),CONCATENATE("R2C",'Mapa final'!$O$22),"")</f>
        <v/>
      </c>
      <c r="AM37" s="26" t="str">
        <f>IF(AND('Mapa final'!$Y$23="Baja",'Mapa final'!$AA$23="Catastrófico"),CONCATENATE("R2C",'Mapa final'!$O$23),"")</f>
        <v/>
      </c>
      <c r="AN37" s="1"/>
      <c r="AO37" s="289"/>
      <c r="AP37" s="235"/>
      <c r="AQ37" s="235"/>
      <c r="AR37" s="235"/>
      <c r="AS37" s="235"/>
      <c r="AT37" s="290"/>
    </row>
    <row r="38" spans="2:46" ht="15" customHeight="1" x14ac:dyDescent="0.25">
      <c r="B38" s="280"/>
      <c r="C38" s="235"/>
      <c r="D38" s="236"/>
      <c r="E38" s="247"/>
      <c r="F38" s="235"/>
      <c r="G38" s="235"/>
      <c r="H38" s="235"/>
      <c r="I38" s="235"/>
      <c r="J38" s="45" t="str">
        <f>IF(AND('Mapa final'!$Y$26="Baja",'Mapa final'!$AA$26="Leve"),CONCATENATE("R3C",'Mapa final'!$O$26),"")</f>
        <v/>
      </c>
      <c r="K38" s="46" t="str">
        <f>IF(AND('Mapa final'!$Y$27="Baja",'Mapa final'!$AA$27="Leve"),CONCATENATE("R3C",'Mapa final'!$O$27),"")</f>
        <v/>
      </c>
      <c r="L38" s="46" t="str">
        <f>IF(AND('Mapa final'!$Y$28="Baja",'Mapa final'!$AA$28="Leve"),CONCATENATE("R3C",'Mapa final'!$O$28),"")</f>
        <v/>
      </c>
      <c r="M38" s="46" t="e">
        <f>IF(AND('Mapa final'!#REF!="Baja",'Mapa final'!#REF!="Leve"),CONCATENATE("R3C",'Mapa final'!#REF!),"")</f>
        <v>#REF!</v>
      </c>
      <c r="N38" s="46" t="e">
        <f>IF(AND('Mapa final'!#REF!="Baja",'Mapa final'!#REF!="Leve"),CONCATENATE("R3C",'Mapa final'!#REF!),"")</f>
        <v>#REF!</v>
      </c>
      <c r="O38" s="47" t="e">
        <f>IF(AND('Mapa final'!#REF!="Baja",'Mapa final'!#REF!="Leve"),CONCATENATE("R3C",'Mapa final'!#REF!),"")</f>
        <v>#REF!</v>
      </c>
      <c r="P38" s="36" t="str">
        <f>IF(AND('Mapa final'!$Y$26="Baja",'Mapa final'!$AA$26="Menor"),CONCATENATE("R3C",'Mapa final'!$O$26),"")</f>
        <v/>
      </c>
      <c r="Q38" s="37" t="str">
        <f>IF(AND('Mapa final'!$Y$27="Baja",'Mapa final'!$AA$27="Menor"),CONCATENATE("R3C",'Mapa final'!$O$27),"")</f>
        <v/>
      </c>
      <c r="R38" s="37" t="str">
        <f>IF(AND('Mapa final'!$Y$28="Baja",'Mapa final'!$AA$28="Menor"),CONCATENATE("R3C",'Mapa final'!$O$28),"")</f>
        <v/>
      </c>
      <c r="S38" s="37" t="e">
        <f>IF(AND('Mapa final'!#REF!="Baja",'Mapa final'!#REF!="Menor"),CONCATENATE("R3C",'Mapa final'!#REF!),"")</f>
        <v>#REF!</v>
      </c>
      <c r="T38" s="37" t="e">
        <f>IF(AND('Mapa final'!#REF!="Baja",'Mapa final'!#REF!="Menor"),CONCATENATE("R3C",'Mapa final'!#REF!),"")</f>
        <v>#REF!</v>
      </c>
      <c r="U38" s="38" t="e">
        <f>IF(AND('Mapa final'!#REF!="Baja",'Mapa final'!#REF!="Menor"),CONCATENATE("R3C",'Mapa final'!#REF!),"")</f>
        <v>#REF!</v>
      </c>
      <c r="V38" s="36" t="str">
        <f>IF(AND('Mapa final'!$Y$26="Baja",'Mapa final'!$AA$26="Moderado"),CONCATENATE("R3C",'Mapa final'!$O$26),"")</f>
        <v/>
      </c>
      <c r="W38" s="37" t="str">
        <f>IF(AND('Mapa final'!$Y$27="Baja",'Mapa final'!$AA$27="Moderado"),CONCATENATE("R3C",'Mapa final'!$O$27),"")</f>
        <v/>
      </c>
      <c r="X38" s="37" t="str">
        <f>IF(AND('Mapa final'!$Y$28="Baja",'Mapa final'!$AA$28="Moderado"),CONCATENATE("R3C",'Mapa final'!$O$28),"")</f>
        <v/>
      </c>
      <c r="Y38" s="37" t="e">
        <f>IF(AND('Mapa final'!#REF!="Baja",'Mapa final'!#REF!="Moderado"),CONCATENATE("R3C",'Mapa final'!#REF!),"")</f>
        <v>#REF!</v>
      </c>
      <c r="Z38" s="37" t="e">
        <f>IF(AND('Mapa final'!#REF!="Baja",'Mapa final'!#REF!="Moderado"),CONCATENATE("R3C",'Mapa final'!#REF!),"")</f>
        <v>#REF!</v>
      </c>
      <c r="AA38" s="38" t="e">
        <f>IF(AND('Mapa final'!#REF!="Baja",'Mapa final'!#REF!="Moderado"),CONCATENATE("R3C",'Mapa final'!#REF!),"")</f>
        <v>#REF!</v>
      </c>
      <c r="AB38" s="21" t="str">
        <f>IF(AND('Mapa final'!$Y$26="Baja",'Mapa final'!$AA$26="Mayor"),CONCATENATE("R3C",'Mapa final'!$O$26),"")</f>
        <v/>
      </c>
      <c r="AC38" s="22" t="str">
        <f>IF(AND('Mapa final'!$Y$27="Baja",'Mapa final'!$AA$27="Mayor"),CONCATENATE("R3C",'Mapa final'!$O$27),"")</f>
        <v/>
      </c>
      <c r="AD38" s="22" t="str">
        <f>IF(AND('Mapa final'!$Y$28="Baja",'Mapa final'!$AA$28="Mayor"),CONCATENATE("R3C",'Mapa final'!$O$28),"")</f>
        <v/>
      </c>
      <c r="AE38" s="22" t="e">
        <f>IF(AND('Mapa final'!#REF!="Baja",'Mapa final'!#REF!="Mayor"),CONCATENATE("R3C",'Mapa final'!#REF!),"")</f>
        <v>#REF!</v>
      </c>
      <c r="AF38" s="22" t="e">
        <f>IF(AND('Mapa final'!#REF!="Baja",'Mapa final'!#REF!="Mayor"),CONCATENATE("R3C",'Mapa final'!#REF!),"")</f>
        <v>#REF!</v>
      </c>
      <c r="AG38" s="23" t="e">
        <f>IF(AND('Mapa final'!#REF!="Baja",'Mapa final'!#REF!="Mayor"),CONCATENATE("R3C",'Mapa final'!#REF!),"")</f>
        <v>#REF!</v>
      </c>
      <c r="AH38" s="24" t="str">
        <f>IF(AND('Mapa final'!$Y$26="Baja",'Mapa final'!$AA$26="Catastrófico"),CONCATENATE("R3C",'Mapa final'!$O$26),"")</f>
        <v/>
      </c>
      <c r="AI38" s="25" t="str">
        <f>IF(AND('Mapa final'!$Y$27="Baja",'Mapa final'!$AA$27="Catastrófico"),CONCATENATE("R3C",'Mapa final'!$O$27),"")</f>
        <v/>
      </c>
      <c r="AJ38" s="25" t="str">
        <f>IF(AND('Mapa final'!$Y$28="Baja",'Mapa final'!$AA$28="Catastrófico"),CONCATENATE("R3C",'Mapa final'!$O$28),"")</f>
        <v/>
      </c>
      <c r="AK38" s="25" t="e">
        <f>IF(AND('Mapa final'!#REF!="Baja",'Mapa final'!#REF!="Catastrófico"),CONCATENATE("R3C",'Mapa final'!#REF!),"")</f>
        <v>#REF!</v>
      </c>
      <c r="AL38" s="25" t="e">
        <f>IF(AND('Mapa final'!#REF!="Baja",'Mapa final'!#REF!="Catastrófico"),CONCATENATE("R3C",'Mapa final'!#REF!),"")</f>
        <v>#REF!</v>
      </c>
      <c r="AM38" s="26" t="e">
        <f>IF(AND('Mapa final'!#REF!="Baja",'Mapa final'!#REF!="Catastrófico"),CONCATENATE("R3C",'Mapa final'!#REF!),"")</f>
        <v>#REF!</v>
      </c>
      <c r="AN38" s="1"/>
      <c r="AO38" s="289"/>
      <c r="AP38" s="235"/>
      <c r="AQ38" s="235"/>
      <c r="AR38" s="235"/>
      <c r="AS38" s="235"/>
      <c r="AT38" s="290"/>
    </row>
    <row r="39" spans="2:46" ht="15" customHeight="1" x14ac:dyDescent="0.25">
      <c r="B39" s="280"/>
      <c r="C39" s="235"/>
      <c r="D39" s="236"/>
      <c r="E39" s="247"/>
      <c r="F39" s="235"/>
      <c r="G39" s="235"/>
      <c r="H39" s="235"/>
      <c r="I39" s="235"/>
      <c r="J39" s="45" t="str">
        <f>IF(AND('Mapa final'!$Y$31="Baja",'Mapa final'!$AA$31="Leve"),CONCATENATE("R4C",'Mapa final'!$O$31),"")</f>
        <v/>
      </c>
      <c r="K39" s="46" t="str">
        <f>IF(AND('Mapa final'!$Y$32="Baja",'Mapa final'!$AA$32="Leve"),CONCATENATE("R4C",'Mapa final'!$O$32),"")</f>
        <v/>
      </c>
      <c r="L39" s="46" t="e">
        <f>IF(AND('Mapa final'!#REF!="Baja",'Mapa final'!#REF!="Leve"),CONCATENATE("R4C",'Mapa final'!#REF!),"")</f>
        <v>#REF!</v>
      </c>
      <c r="M39" s="46" t="str">
        <f>IF(AND('Mapa final'!$Y$33="Baja",'Mapa final'!$AA$33="Leve"),CONCATENATE("R4C",'Mapa final'!$O$33),"")</f>
        <v/>
      </c>
      <c r="N39" s="46" t="e">
        <f>IF(AND('Mapa final'!#REF!="Baja",'Mapa final'!#REF!="Leve"),CONCATENATE("R4C",'Mapa final'!#REF!),"")</f>
        <v>#REF!</v>
      </c>
      <c r="O39" s="47" t="e">
        <f>IF(AND('Mapa final'!#REF!="Baja",'Mapa final'!#REF!="Leve"),CONCATENATE("R4C",'Mapa final'!#REF!),"")</f>
        <v>#REF!</v>
      </c>
      <c r="P39" s="36" t="str">
        <f>IF(AND('Mapa final'!$Y$31="Baja",'Mapa final'!$AA$31="Menor"),CONCATENATE("R4C",'Mapa final'!$O$31),"")</f>
        <v/>
      </c>
      <c r="Q39" s="37" t="str">
        <f>IF(AND('Mapa final'!$Y$32="Baja",'Mapa final'!$AA$32="Menor"),CONCATENATE("R4C",'Mapa final'!$O$32),"")</f>
        <v/>
      </c>
      <c r="R39" s="37" t="e">
        <f>IF(AND('Mapa final'!#REF!="Baja",'Mapa final'!#REF!="Menor"),CONCATENATE("R4C",'Mapa final'!#REF!),"")</f>
        <v>#REF!</v>
      </c>
      <c r="S39" s="37" t="str">
        <f>IF(AND('Mapa final'!$Y$33="Baja",'Mapa final'!$AA$33="Menor"),CONCATENATE("R4C",'Mapa final'!$O$33),"")</f>
        <v/>
      </c>
      <c r="T39" s="37" t="e">
        <f>IF(AND('Mapa final'!#REF!="Baja",'Mapa final'!#REF!="Menor"),CONCATENATE("R4C",'Mapa final'!#REF!),"")</f>
        <v>#REF!</v>
      </c>
      <c r="U39" s="38" t="e">
        <f>IF(AND('Mapa final'!#REF!="Baja",'Mapa final'!#REF!="Menor"),CONCATENATE("R4C",'Mapa final'!#REF!),"")</f>
        <v>#REF!</v>
      </c>
      <c r="V39" s="36" t="str">
        <f>IF(AND('Mapa final'!$Y$31="Baja",'Mapa final'!$AA$31="Moderado"),CONCATENATE("R4C",'Mapa final'!$O$31),"")</f>
        <v>R4C1</v>
      </c>
      <c r="W39" s="37" t="str">
        <f>IF(AND('Mapa final'!$Y$32="Baja",'Mapa final'!$AA$32="Moderado"),CONCATENATE("R4C",'Mapa final'!$O$32),"")</f>
        <v>R4C2</v>
      </c>
      <c r="X39" s="37" t="e">
        <f>IF(AND('Mapa final'!#REF!="Baja",'Mapa final'!#REF!="Moderado"),CONCATENATE("R4C",'Mapa final'!#REF!),"")</f>
        <v>#REF!</v>
      </c>
      <c r="Y39" s="37" t="str">
        <f>IF(AND('Mapa final'!$Y$33="Baja",'Mapa final'!$AA$33="Moderado"),CONCATENATE("R4C",'Mapa final'!$O$33),"")</f>
        <v/>
      </c>
      <c r="Z39" s="37" t="e">
        <f>IF(AND('Mapa final'!#REF!="Baja",'Mapa final'!#REF!="Moderado"),CONCATENATE("R4C",'Mapa final'!#REF!),"")</f>
        <v>#REF!</v>
      </c>
      <c r="AA39" s="38" t="e">
        <f>IF(AND('Mapa final'!#REF!="Baja",'Mapa final'!#REF!="Moderado"),CONCATENATE("R4C",'Mapa final'!#REF!),"")</f>
        <v>#REF!</v>
      </c>
      <c r="AB39" s="21" t="str">
        <f>IF(AND('Mapa final'!$Y$31="Baja",'Mapa final'!$AA$31="Mayor"),CONCATENATE("R4C",'Mapa final'!$O$31),"")</f>
        <v/>
      </c>
      <c r="AC39" s="22" t="str">
        <f>IF(AND('Mapa final'!$Y$32="Baja",'Mapa final'!$AA$32="Mayor"),CONCATENATE("R4C",'Mapa final'!$O$32),"")</f>
        <v/>
      </c>
      <c r="AD39" s="22" t="e">
        <f>IF(AND('Mapa final'!#REF!="Baja",'Mapa final'!#REF!="Mayor"),CONCATENATE("R4C",'Mapa final'!#REF!),"")</f>
        <v>#REF!</v>
      </c>
      <c r="AE39" s="22" t="str">
        <f>IF(AND('Mapa final'!$Y$33="Baja",'Mapa final'!$AA$33="Mayor"),CONCATENATE("R4C",'Mapa final'!$O$33),"")</f>
        <v/>
      </c>
      <c r="AF39" s="22" t="e">
        <f>IF(AND('Mapa final'!#REF!="Baja",'Mapa final'!#REF!="Mayor"),CONCATENATE("R4C",'Mapa final'!#REF!),"")</f>
        <v>#REF!</v>
      </c>
      <c r="AG39" s="23" t="e">
        <f>IF(AND('Mapa final'!#REF!="Baja",'Mapa final'!#REF!="Mayor"),CONCATENATE("R4C",'Mapa final'!#REF!),"")</f>
        <v>#REF!</v>
      </c>
      <c r="AH39" s="24" t="str">
        <f>IF(AND('Mapa final'!$Y$31="Baja",'Mapa final'!$AA$31="Catastrófico"),CONCATENATE("R4C",'Mapa final'!$O$31),"")</f>
        <v/>
      </c>
      <c r="AI39" s="25" t="str">
        <f>IF(AND('Mapa final'!$Y$32="Baja",'Mapa final'!$AA$32="Catastrófico"),CONCATENATE("R4C",'Mapa final'!$O$32),"")</f>
        <v/>
      </c>
      <c r="AJ39" s="25" t="e">
        <f>IF(AND('Mapa final'!#REF!="Baja",'Mapa final'!#REF!="Catastrófico"),CONCATENATE("R4C",'Mapa final'!#REF!),"")</f>
        <v>#REF!</v>
      </c>
      <c r="AK39" s="25" t="str">
        <f>IF(AND('Mapa final'!$Y$33="Baja",'Mapa final'!$AA$33="Catastrófico"),CONCATENATE("R4C",'Mapa final'!$O$33),"")</f>
        <v/>
      </c>
      <c r="AL39" s="25" t="e">
        <f>IF(AND('Mapa final'!#REF!="Baja",'Mapa final'!#REF!="Catastrófico"),CONCATENATE("R4C",'Mapa final'!#REF!),"")</f>
        <v>#REF!</v>
      </c>
      <c r="AM39" s="26" t="e">
        <f>IF(AND('Mapa final'!#REF!="Baja",'Mapa final'!#REF!="Catastrófico"),CONCATENATE("R4C",'Mapa final'!#REF!),"")</f>
        <v>#REF!</v>
      </c>
      <c r="AN39" s="1"/>
      <c r="AO39" s="289"/>
      <c r="AP39" s="235"/>
      <c r="AQ39" s="235"/>
      <c r="AR39" s="235"/>
      <c r="AS39" s="235"/>
      <c r="AT39" s="290"/>
    </row>
    <row r="40" spans="2:46" ht="15" customHeight="1" x14ac:dyDescent="0.25">
      <c r="B40" s="280"/>
      <c r="C40" s="235"/>
      <c r="D40" s="236"/>
      <c r="E40" s="247"/>
      <c r="F40" s="235"/>
      <c r="G40" s="235"/>
      <c r="H40" s="235"/>
      <c r="I40" s="235"/>
      <c r="J40" s="45" t="str">
        <f>IF(AND('Mapa final'!$Y$36="Baja",'Mapa final'!$AA$36="Leve"),CONCATENATE("R5C",'Mapa final'!$O$36),"")</f>
        <v/>
      </c>
      <c r="K40" s="46" t="str">
        <f>IF(AND('Mapa final'!$Y$37="Baja",'Mapa final'!$AA$37="Leve"),CONCATENATE("R5C",'Mapa final'!$O$37),"")</f>
        <v/>
      </c>
      <c r="L40" s="46" t="str">
        <f>IF(AND('Mapa final'!$Y$38="Baja",'Mapa final'!$AA$38="Leve"),CONCATENATE("R5C",'Mapa final'!$O$38),"")</f>
        <v/>
      </c>
      <c r="M40" s="46" t="e">
        <f>IF(AND('Mapa final'!#REF!="Baja",'Mapa final'!#REF!="Leve"),CONCATENATE("R5C",'Mapa final'!#REF!),"")</f>
        <v>#REF!</v>
      </c>
      <c r="N40" s="46" t="e">
        <f>IF(AND('Mapa final'!#REF!="Baja",'Mapa final'!#REF!="Leve"),CONCATENATE("R5C",'Mapa final'!#REF!),"")</f>
        <v>#REF!</v>
      </c>
      <c r="O40" s="47" t="e">
        <f>IF(AND('Mapa final'!#REF!="Baja",'Mapa final'!#REF!="Leve"),CONCATENATE("R5C",'Mapa final'!#REF!),"")</f>
        <v>#REF!</v>
      </c>
      <c r="P40" s="36" t="str">
        <f>IF(AND('Mapa final'!$Y$36="Baja",'Mapa final'!$AA$36="Menor"),CONCATENATE("R5C",'Mapa final'!$O$36),"")</f>
        <v/>
      </c>
      <c r="Q40" s="37" t="str">
        <f>IF(AND('Mapa final'!$Y$37="Baja",'Mapa final'!$AA$37="Menor"),CONCATENATE("R5C",'Mapa final'!$O$37),"")</f>
        <v/>
      </c>
      <c r="R40" s="37" t="str">
        <f>IF(AND('Mapa final'!$Y$38="Baja",'Mapa final'!$AA$38="Menor"),CONCATENATE("R5C",'Mapa final'!$O$38),"")</f>
        <v/>
      </c>
      <c r="S40" s="37" t="e">
        <f>IF(AND('Mapa final'!#REF!="Baja",'Mapa final'!#REF!="Menor"),CONCATENATE("R5C",'Mapa final'!#REF!),"")</f>
        <v>#REF!</v>
      </c>
      <c r="T40" s="37" t="e">
        <f>IF(AND('Mapa final'!#REF!="Baja",'Mapa final'!#REF!="Menor"),CONCATENATE("R5C",'Mapa final'!#REF!),"")</f>
        <v>#REF!</v>
      </c>
      <c r="U40" s="38" t="e">
        <f>IF(AND('Mapa final'!#REF!="Baja",'Mapa final'!#REF!="Menor"),CONCATENATE("R5C",'Mapa final'!#REF!),"")</f>
        <v>#REF!</v>
      </c>
      <c r="V40" s="36" t="str">
        <f>IF(AND('Mapa final'!$Y$36="Baja",'Mapa final'!$AA$36="Moderado"),CONCATENATE("R5C",'Mapa final'!$O$36),"")</f>
        <v>R5C1</v>
      </c>
      <c r="W40" s="37" t="str">
        <f>IF(AND('Mapa final'!$Y$37="Baja",'Mapa final'!$AA$37="Moderado"),CONCATENATE("R5C",'Mapa final'!$O$37),"")</f>
        <v/>
      </c>
      <c r="X40" s="37" t="str">
        <f>IF(AND('Mapa final'!$Y$38="Baja",'Mapa final'!$AA$38="Moderado"),CONCATENATE("R5C",'Mapa final'!$O$38),"")</f>
        <v/>
      </c>
      <c r="Y40" s="37" t="e">
        <f>IF(AND('Mapa final'!#REF!="Baja",'Mapa final'!#REF!="Moderado"),CONCATENATE("R5C",'Mapa final'!#REF!),"")</f>
        <v>#REF!</v>
      </c>
      <c r="Z40" s="37" t="e">
        <f>IF(AND('Mapa final'!#REF!="Baja",'Mapa final'!#REF!="Moderado"),CONCATENATE("R5C",'Mapa final'!#REF!),"")</f>
        <v>#REF!</v>
      </c>
      <c r="AA40" s="38" t="e">
        <f>IF(AND('Mapa final'!#REF!="Baja",'Mapa final'!#REF!="Moderado"),CONCATENATE("R5C",'Mapa final'!#REF!),"")</f>
        <v>#REF!</v>
      </c>
      <c r="AB40" s="21" t="str">
        <f>IF(AND('Mapa final'!$Y$36="Baja",'Mapa final'!$AA$36="Mayor"),CONCATENATE("R5C",'Mapa final'!$O$36),"")</f>
        <v/>
      </c>
      <c r="AC40" s="22" t="str">
        <f>IF(AND('Mapa final'!$Y$37="Baja",'Mapa final'!$AA$37="Mayor"),CONCATENATE("R5C",'Mapa final'!$O$37),"")</f>
        <v/>
      </c>
      <c r="AD40" s="22" t="str">
        <f>IF(AND('Mapa final'!$Y$38="Baja",'Mapa final'!$AA$38="Mayor"),CONCATENATE("R5C",'Mapa final'!$O$38),"")</f>
        <v/>
      </c>
      <c r="AE40" s="22" t="e">
        <f>IF(AND('Mapa final'!#REF!="Baja",'Mapa final'!#REF!="Mayor"),CONCATENATE("R5C",'Mapa final'!#REF!),"")</f>
        <v>#REF!</v>
      </c>
      <c r="AF40" s="22" t="e">
        <f>IF(AND('Mapa final'!#REF!="Baja",'Mapa final'!#REF!="Mayor"),CONCATENATE("R5C",'Mapa final'!#REF!),"")</f>
        <v>#REF!</v>
      </c>
      <c r="AG40" s="23" t="e">
        <f>IF(AND('Mapa final'!#REF!="Baja",'Mapa final'!#REF!="Mayor"),CONCATENATE("R5C",'Mapa final'!#REF!),"")</f>
        <v>#REF!</v>
      </c>
      <c r="AH40" s="24" t="str">
        <f>IF(AND('Mapa final'!$Y$36="Baja",'Mapa final'!$AA$36="Catastrófico"),CONCATENATE("R5C",'Mapa final'!$O$36),"")</f>
        <v/>
      </c>
      <c r="AI40" s="25" t="str">
        <f>IF(AND('Mapa final'!$Y$37="Baja",'Mapa final'!$AA$37="Catastrófico"),CONCATENATE("R5C",'Mapa final'!$O$37),"")</f>
        <v/>
      </c>
      <c r="AJ40" s="25" t="str">
        <f>IF(AND('Mapa final'!$Y$38="Baja",'Mapa final'!$AA$38="Catastrófico"),CONCATENATE("R5C",'Mapa final'!$O$38),"")</f>
        <v/>
      </c>
      <c r="AK40" s="25" t="e">
        <f>IF(AND('Mapa final'!#REF!="Baja",'Mapa final'!#REF!="Catastrófico"),CONCATENATE("R5C",'Mapa final'!#REF!),"")</f>
        <v>#REF!</v>
      </c>
      <c r="AL40" s="25" t="e">
        <f>IF(AND('Mapa final'!#REF!="Baja",'Mapa final'!#REF!="Catastrófico"),CONCATENATE("R5C",'Mapa final'!#REF!),"")</f>
        <v>#REF!</v>
      </c>
      <c r="AM40" s="26" t="e">
        <f>IF(AND('Mapa final'!#REF!="Baja",'Mapa final'!#REF!="Catastrófico"),CONCATENATE("R5C",'Mapa final'!#REF!),"")</f>
        <v>#REF!</v>
      </c>
      <c r="AN40" s="1"/>
      <c r="AO40" s="289"/>
      <c r="AP40" s="235"/>
      <c r="AQ40" s="235"/>
      <c r="AR40" s="235"/>
      <c r="AS40" s="235"/>
      <c r="AT40" s="290"/>
    </row>
    <row r="41" spans="2:46" ht="15" customHeight="1" x14ac:dyDescent="0.25">
      <c r="B41" s="280"/>
      <c r="C41" s="235"/>
      <c r="D41" s="236"/>
      <c r="E41" s="247"/>
      <c r="F41" s="235"/>
      <c r="G41" s="235"/>
      <c r="H41" s="235"/>
      <c r="I41" s="235"/>
      <c r="J41" s="45" t="str">
        <f>IF(AND('Mapa final'!$Y$44="Baja",'Mapa final'!$AA$44="Leve"),CONCATENATE("R6C",'Mapa final'!$O$44),"")</f>
        <v/>
      </c>
      <c r="K41" s="46" t="str">
        <f>IF(AND('Mapa final'!$Y$45="Baja",'Mapa final'!$AA$45="Leve"),CONCATENATE("R6C",'Mapa final'!$O$45),"")</f>
        <v/>
      </c>
      <c r="L41" s="46" t="str">
        <f>IF(AND('Mapa final'!$Y$46="Baja",'Mapa final'!$AA$46="Leve"),CONCATENATE("R6C",'Mapa final'!$O$46),"")</f>
        <v/>
      </c>
      <c r="M41" s="46" t="e">
        <f>IF(AND('Mapa final'!#REF!="Baja",'Mapa final'!#REF!="Leve"),CONCATENATE("R6C",'Mapa final'!#REF!),"")</f>
        <v>#REF!</v>
      </c>
      <c r="N41" s="46" t="e">
        <f>IF(AND('Mapa final'!#REF!="Baja",'Mapa final'!#REF!="Leve"),CONCATENATE("R6C",'Mapa final'!#REF!),"")</f>
        <v>#REF!</v>
      </c>
      <c r="O41" s="47" t="e">
        <f>IF(AND('Mapa final'!#REF!="Baja",'Mapa final'!#REF!="Leve"),CONCATENATE("R6C",'Mapa final'!#REF!),"")</f>
        <v>#REF!</v>
      </c>
      <c r="P41" s="36" t="str">
        <f>IF(AND('Mapa final'!$Y$44="Baja",'Mapa final'!$AA$44="Menor"),CONCATENATE("R6C",'Mapa final'!$O$44),"")</f>
        <v/>
      </c>
      <c r="Q41" s="37" t="str">
        <f>IF(AND('Mapa final'!$Y$45="Baja",'Mapa final'!$AA$45="Menor"),CONCATENATE("R6C",'Mapa final'!$O$45),"")</f>
        <v/>
      </c>
      <c r="R41" s="37" t="str">
        <f>IF(AND('Mapa final'!$Y$46="Baja",'Mapa final'!$AA$46="Menor"),CONCATENATE("R6C",'Mapa final'!$O$46),"")</f>
        <v/>
      </c>
      <c r="S41" s="37" t="e">
        <f>IF(AND('Mapa final'!#REF!="Baja",'Mapa final'!#REF!="Menor"),CONCATENATE("R6C",'Mapa final'!#REF!),"")</f>
        <v>#REF!</v>
      </c>
      <c r="T41" s="37" t="e">
        <f>IF(AND('Mapa final'!#REF!="Baja",'Mapa final'!#REF!="Menor"),CONCATENATE("R6C",'Mapa final'!#REF!),"")</f>
        <v>#REF!</v>
      </c>
      <c r="U41" s="38" t="e">
        <f>IF(AND('Mapa final'!#REF!="Baja",'Mapa final'!#REF!="Menor"),CONCATENATE("R6C",'Mapa final'!#REF!),"")</f>
        <v>#REF!</v>
      </c>
      <c r="V41" s="36" t="str">
        <f>IF(AND('Mapa final'!$Y$44="Baja",'Mapa final'!$AA$44="Moderado"),CONCATENATE("R6C",'Mapa final'!$O$44),"")</f>
        <v/>
      </c>
      <c r="W41" s="37" t="str">
        <f>IF(AND('Mapa final'!$Y$45="Baja",'Mapa final'!$AA$45="Moderado"),CONCATENATE("R6C",'Mapa final'!$O$45),"")</f>
        <v/>
      </c>
      <c r="X41" s="37" t="str">
        <f>IF(AND('Mapa final'!$Y$46="Baja",'Mapa final'!$AA$46="Moderado"),CONCATENATE("R6C",'Mapa final'!$O$46),"")</f>
        <v/>
      </c>
      <c r="Y41" s="37" t="e">
        <f>IF(AND('Mapa final'!#REF!="Baja",'Mapa final'!#REF!="Moderado"),CONCATENATE("R6C",'Mapa final'!#REF!),"")</f>
        <v>#REF!</v>
      </c>
      <c r="Z41" s="37" t="e">
        <f>IF(AND('Mapa final'!#REF!="Baja",'Mapa final'!#REF!="Moderado"),CONCATENATE("R6C",'Mapa final'!#REF!),"")</f>
        <v>#REF!</v>
      </c>
      <c r="AA41" s="38" t="e">
        <f>IF(AND('Mapa final'!#REF!="Baja",'Mapa final'!#REF!="Moderado"),CONCATENATE("R6C",'Mapa final'!#REF!),"")</f>
        <v>#REF!</v>
      </c>
      <c r="AB41" s="21" t="str">
        <f>IF(AND('Mapa final'!$Y$44="Baja",'Mapa final'!$AA$44="Mayor"),CONCATENATE("R6C",'Mapa final'!$O$44),"")</f>
        <v/>
      </c>
      <c r="AC41" s="22" t="str">
        <f>IF(AND('Mapa final'!$Y$45="Baja",'Mapa final'!$AA$45="Mayor"),CONCATENATE("R6C",'Mapa final'!$O$45),"")</f>
        <v/>
      </c>
      <c r="AD41" s="22" t="str">
        <f>IF(AND('Mapa final'!$Y$46="Baja",'Mapa final'!$AA$46="Mayor"),CONCATENATE("R6C",'Mapa final'!$O$46),"")</f>
        <v/>
      </c>
      <c r="AE41" s="22" t="e">
        <f>IF(AND('Mapa final'!#REF!="Baja",'Mapa final'!#REF!="Mayor"),CONCATENATE("R6C",'Mapa final'!#REF!),"")</f>
        <v>#REF!</v>
      </c>
      <c r="AF41" s="22" t="e">
        <f>IF(AND('Mapa final'!#REF!="Baja",'Mapa final'!#REF!="Mayor"),CONCATENATE("R6C",'Mapa final'!#REF!),"")</f>
        <v>#REF!</v>
      </c>
      <c r="AG41" s="23" t="e">
        <f>IF(AND('Mapa final'!#REF!="Baja",'Mapa final'!#REF!="Mayor"),CONCATENATE("R6C",'Mapa final'!#REF!),"")</f>
        <v>#REF!</v>
      </c>
      <c r="AH41" s="24" t="str">
        <f>IF(AND('Mapa final'!$Y$44="Baja",'Mapa final'!$AA$44="Catastrófico"),CONCATENATE("R6C",'Mapa final'!$O$44),"")</f>
        <v/>
      </c>
      <c r="AI41" s="25" t="str">
        <f>IF(AND('Mapa final'!$Y$45="Baja",'Mapa final'!$AA$45="Catastrófico"),CONCATENATE("R6C",'Mapa final'!$O$45),"")</f>
        <v/>
      </c>
      <c r="AJ41" s="25" t="str">
        <f>IF(AND('Mapa final'!$Y$46="Baja",'Mapa final'!$AA$46="Catastrófico"),CONCATENATE("R6C",'Mapa final'!$O$46),"")</f>
        <v/>
      </c>
      <c r="AK41" s="25" t="e">
        <f>IF(AND('Mapa final'!#REF!="Baja",'Mapa final'!#REF!="Catastrófico"),CONCATENATE("R6C",'Mapa final'!#REF!),"")</f>
        <v>#REF!</v>
      </c>
      <c r="AL41" s="25" t="e">
        <f>IF(AND('Mapa final'!#REF!="Baja",'Mapa final'!#REF!="Catastrófico"),CONCATENATE("R6C",'Mapa final'!#REF!),"")</f>
        <v>#REF!</v>
      </c>
      <c r="AM41" s="26" t="e">
        <f>IF(AND('Mapa final'!#REF!="Baja",'Mapa final'!#REF!="Catastrófico"),CONCATENATE("R6C",'Mapa final'!#REF!),"")</f>
        <v>#REF!</v>
      </c>
      <c r="AN41" s="1"/>
      <c r="AO41" s="289"/>
      <c r="AP41" s="235"/>
      <c r="AQ41" s="235"/>
      <c r="AR41" s="235"/>
      <c r="AS41" s="235"/>
      <c r="AT41" s="290"/>
    </row>
    <row r="42" spans="2:46" ht="15" customHeight="1" x14ac:dyDescent="0.25">
      <c r="B42" s="280"/>
      <c r="C42" s="235"/>
      <c r="D42" s="236"/>
      <c r="E42" s="247"/>
      <c r="F42" s="235"/>
      <c r="G42" s="235"/>
      <c r="H42" s="235"/>
      <c r="I42" s="235"/>
      <c r="J42" s="45" t="e">
        <f>IF(AND('Mapa final'!#REF!="Baja",'Mapa final'!#REF!="Leve"),CONCATENATE("R7C",'Mapa final'!#REF!),"")</f>
        <v>#REF!</v>
      </c>
      <c r="K42" s="46" t="e">
        <f>IF(AND('Mapa final'!#REF!="Baja",'Mapa final'!#REF!="Leve"),CONCATENATE("R7C",'Mapa final'!#REF!),"")</f>
        <v>#REF!</v>
      </c>
      <c r="L42" s="46" t="e">
        <f>IF(AND('Mapa final'!#REF!="Baja",'Mapa final'!#REF!="Leve"),CONCATENATE("R7C",'Mapa final'!#REF!),"")</f>
        <v>#REF!</v>
      </c>
      <c r="M42" s="46" t="e">
        <f>IF(AND('Mapa final'!#REF!="Baja",'Mapa final'!#REF!="Leve"),CONCATENATE("R7C",'Mapa final'!#REF!),"")</f>
        <v>#REF!</v>
      </c>
      <c r="N42" s="46" t="e">
        <f>IF(AND('Mapa final'!#REF!="Baja",'Mapa final'!#REF!="Leve"),CONCATENATE("R7C",'Mapa final'!#REF!),"")</f>
        <v>#REF!</v>
      </c>
      <c r="O42" s="47" t="e">
        <f>IF(AND('Mapa final'!#REF!="Baja",'Mapa final'!#REF!="Leve"),CONCATENATE("R7C",'Mapa final'!#REF!),"")</f>
        <v>#REF!</v>
      </c>
      <c r="P42" s="36" t="e">
        <f>IF(AND('Mapa final'!#REF!="Baja",'Mapa final'!#REF!="Menor"),CONCATENATE("R7C",'Mapa final'!#REF!),"")</f>
        <v>#REF!</v>
      </c>
      <c r="Q42" s="37" t="e">
        <f>IF(AND('Mapa final'!#REF!="Baja",'Mapa final'!#REF!="Menor"),CONCATENATE("R7C",'Mapa final'!#REF!),"")</f>
        <v>#REF!</v>
      </c>
      <c r="R42" s="37" t="e">
        <f>IF(AND('Mapa final'!#REF!="Baja",'Mapa final'!#REF!="Menor"),CONCATENATE("R7C",'Mapa final'!#REF!),"")</f>
        <v>#REF!</v>
      </c>
      <c r="S42" s="37" t="e">
        <f>IF(AND('Mapa final'!#REF!="Baja",'Mapa final'!#REF!="Menor"),CONCATENATE("R7C",'Mapa final'!#REF!),"")</f>
        <v>#REF!</v>
      </c>
      <c r="T42" s="37" t="e">
        <f>IF(AND('Mapa final'!#REF!="Baja",'Mapa final'!#REF!="Menor"),CONCATENATE("R7C",'Mapa final'!#REF!),"")</f>
        <v>#REF!</v>
      </c>
      <c r="U42" s="38" t="e">
        <f>IF(AND('Mapa final'!#REF!="Baja",'Mapa final'!#REF!="Menor"),CONCATENATE("R7C",'Mapa final'!#REF!),"")</f>
        <v>#REF!</v>
      </c>
      <c r="V42" s="36" t="e">
        <f>IF(AND('Mapa final'!#REF!="Baja",'Mapa final'!#REF!="Moderado"),CONCATENATE("R7C",'Mapa final'!#REF!),"")</f>
        <v>#REF!</v>
      </c>
      <c r="W42" s="37" t="e">
        <f>IF(AND('Mapa final'!#REF!="Baja",'Mapa final'!#REF!="Moderado"),CONCATENATE("R7C",'Mapa final'!#REF!),"")</f>
        <v>#REF!</v>
      </c>
      <c r="X42" s="37" t="e">
        <f>IF(AND('Mapa final'!#REF!="Baja",'Mapa final'!#REF!="Moderado"),CONCATENATE("R7C",'Mapa final'!#REF!),"")</f>
        <v>#REF!</v>
      </c>
      <c r="Y42" s="37" t="e">
        <f>IF(AND('Mapa final'!#REF!="Baja",'Mapa final'!#REF!="Moderado"),CONCATENATE("R7C",'Mapa final'!#REF!),"")</f>
        <v>#REF!</v>
      </c>
      <c r="Z42" s="37" t="e">
        <f>IF(AND('Mapa final'!#REF!="Baja",'Mapa final'!#REF!="Moderado"),CONCATENATE("R7C",'Mapa final'!#REF!),"")</f>
        <v>#REF!</v>
      </c>
      <c r="AA42" s="38" t="e">
        <f>IF(AND('Mapa final'!#REF!="Baja",'Mapa final'!#REF!="Moderado"),CONCATENATE("R7C",'Mapa final'!#REF!),"")</f>
        <v>#REF!</v>
      </c>
      <c r="AB42" s="21" t="e">
        <f>IF(AND('Mapa final'!#REF!="Baja",'Mapa final'!#REF!="Mayor"),CONCATENATE("R7C",'Mapa final'!#REF!),"")</f>
        <v>#REF!</v>
      </c>
      <c r="AC42" s="22" t="e">
        <f>IF(AND('Mapa final'!#REF!="Baja",'Mapa final'!#REF!="Mayor"),CONCATENATE("R7C",'Mapa final'!#REF!),"")</f>
        <v>#REF!</v>
      </c>
      <c r="AD42" s="22" t="e">
        <f>IF(AND('Mapa final'!#REF!="Baja",'Mapa final'!#REF!="Mayor"),CONCATENATE("R7C",'Mapa final'!#REF!),"")</f>
        <v>#REF!</v>
      </c>
      <c r="AE42" s="22" t="e">
        <f>IF(AND('Mapa final'!#REF!="Baja",'Mapa final'!#REF!="Mayor"),CONCATENATE("R7C",'Mapa final'!#REF!),"")</f>
        <v>#REF!</v>
      </c>
      <c r="AF42" s="22" t="e">
        <f>IF(AND('Mapa final'!#REF!="Baja",'Mapa final'!#REF!="Mayor"),CONCATENATE("R7C",'Mapa final'!#REF!),"")</f>
        <v>#REF!</v>
      </c>
      <c r="AG42" s="23" t="e">
        <f>IF(AND('Mapa final'!#REF!="Baja",'Mapa final'!#REF!="Mayor"),CONCATENATE("R7C",'Mapa final'!#REF!),"")</f>
        <v>#REF!</v>
      </c>
      <c r="AH42" s="24" t="e">
        <f>IF(AND('Mapa final'!#REF!="Baja",'Mapa final'!#REF!="Catastrófico"),CONCATENATE("R7C",'Mapa final'!#REF!),"")</f>
        <v>#REF!</v>
      </c>
      <c r="AI42" s="25" t="e">
        <f>IF(AND('Mapa final'!#REF!="Baja",'Mapa final'!#REF!="Catastrófico"),CONCATENATE("R7C",'Mapa final'!#REF!),"")</f>
        <v>#REF!</v>
      </c>
      <c r="AJ42" s="25" t="e">
        <f>IF(AND('Mapa final'!#REF!="Baja",'Mapa final'!#REF!="Catastrófico"),CONCATENATE("R7C",'Mapa final'!#REF!),"")</f>
        <v>#REF!</v>
      </c>
      <c r="AK42" s="25" t="e">
        <f>IF(AND('Mapa final'!#REF!="Baja",'Mapa final'!#REF!="Catastrófico"),CONCATENATE("R7C",'Mapa final'!#REF!),"")</f>
        <v>#REF!</v>
      </c>
      <c r="AL42" s="25" t="e">
        <f>IF(AND('Mapa final'!#REF!="Baja",'Mapa final'!#REF!="Catastrófico"),CONCATENATE("R7C",'Mapa final'!#REF!),"")</f>
        <v>#REF!</v>
      </c>
      <c r="AM42" s="26" t="e">
        <f>IF(AND('Mapa final'!#REF!="Baja",'Mapa final'!#REF!="Catastrófico"),CONCATENATE("R7C",'Mapa final'!#REF!),"")</f>
        <v>#REF!</v>
      </c>
      <c r="AN42" s="1"/>
      <c r="AO42" s="289"/>
      <c r="AP42" s="235"/>
      <c r="AQ42" s="235"/>
      <c r="AR42" s="235"/>
      <c r="AS42" s="235"/>
      <c r="AT42" s="290"/>
    </row>
    <row r="43" spans="2:46" ht="15" customHeight="1" x14ac:dyDescent="0.25">
      <c r="B43" s="280"/>
      <c r="C43" s="235"/>
      <c r="D43" s="236"/>
      <c r="E43" s="247"/>
      <c r="F43" s="235"/>
      <c r="G43" s="235"/>
      <c r="H43" s="235"/>
      <c r="I43" s="235"/>
      <c r="J43" s="45" t="e">
        <f>IF(AND('Mapa final'!#REF!="Baja",'Mapa final'!#REF!="Leve"),CONCATENATE("R8C",'Mapa final'!#REF!),"")</f>
        <v>#REF!</v>
      </c>
      <c r="K43" s="46" t="e">
        <f>IF(AND('Mapa final'!#REF!="Baja",'Mapa final'!#REF!="Leve"),CONCATENATE("R8C",'Mapa final'!#REF!),"")</f>
        <v>#REF!</v>
      </c>
      <c r="L43" s="46" t="e">
        <f>IF(AND('Mapa final'!#REF!="Baja",'Mapa final'!#REF!="Leve"),CONCATENATE("R8C",'Mapa final'!#REF!),"")</f>
        <v>#REF!</v>
      </c>
      <c r="M43" s="46" t="e">
        <f>IF(AND('Mapa final'!#REF!="Baja",'Mapa final'!#REF!="Leve"),CONCATENATE("R8C",'Mapa final'!#REF!),"")</f>
        <v>#REF!</v>
      </c>
      <c r="N43" s="46" t="e">
        <f>IF(AND('Mapa final'!#REF!="Baja",'Mapa final'!#REF!="Leve"),CONCATENATE("R8C",'Mapa final'!#REF!),"")</f>
        <v>#REF!</v>
      </c>
      <c r="O43" s="47" t="e">
        <f>IF(AND('Mapa final'!#REF!="Baja",'Mapa final'!#REF!="Leve"),CONCATENATE("R8C",'Mapa final'!#REF!),"")</f>
        <v>#REF!</v>
      </c>
      <c r="P43" s="36" t="e">
        <f>IF(AND('Mapa final'!#REF!="Baja",'Mapa final'!#REF!="Menor"),CONCATENATE("R8C",'Mapa final'!#REF!),"")</f>
        <v>#REF!</v>
      </c>
      <c r="Q43" s="37" t="e">
        <f>IF(AND('Mapa final'!#REF!="Baja",'Mapa final'!#REF!="Menor"),CONCATENATE("R8C",'Mapa final'!#REF!),"")</f>
        <v>#REF!</v>
      </c>
      <c r="R43" s="37" t="e">
        <f>IF(AND('Mapa final'!#REF!="Baja",'Mapa final'!#REF!="Menor"),CONCATENATE("R8C",'Mapa final'!#REF!),"")</f>
        <v>#REF!</v>
      </c>
      <c r="S43" s="37" t="e">
        <f>IF(AND('Mapa final'!#REF!="Baja",'Mapa final'!#REF!="Menor"),CONCATENATE("R8C",'Mapa final'!#REF!),"")</f>
        <v>#REF!</v>
      </c>
      <c r="T43" s="37" t="e">
        <f>IF(AND('Mapa final'!#REF!="Baja",'Mapa final'!#REF!="Menor"),CONCATENATE("R8C",'Mapa final'!#REF!),"")</f>
        <v>#REF!</v>
      </c>
      <c r="U43" s="38" t="e">
        <f>IF(AND('Mapa final'!#REF!="Baja",'Mapa final'!#REF!="Menor"),CONCATENATE("R8C",'Mapa final'!#REF!),"")</f>
        <v>#REF!</v>
      </c>
      <c r="V43" s="36" t="e">
        <f>IF(AND('Mapa final'!#REF!="Baja",'Mapa final'!#REF!="Moderado"),CONCATENATE("R8C",'Mapa final'!#REF!),"")</f>
        <v>#REF!</v>
      </c>
      <c r="W43" s="37" t="e">
        <f>IF(AND('Mapa final'!#REF!="Baja",'Mapa final'!#REF!="Moderado"),CONCATENATE("R8C",'Mapa final'!#REF!),"")</f>
        <v>#REF!</v>
      </c>
      <c r="X43" s="37" t="e">
        <f>IF(AND('Mapa final'!#REF!="Baja",'Mapa final'!#REF!="Moderado"),CONCATENATE("R8C",'Mapa final'!#REF!),"")</f>
        <v>#REF!</v>
      </c>
      <c r="Y43" s="37" t="e">
        <f>IF(AND('Mapa final'!#REF!="Baja",'Mapa final'!#REF!="Moderado"),CONCATENATE("R8C",'Mapa final'!#REF!),"")</f>
        <v>#REF!</v>
      </c>
      <c r="Z43" s="37" t="e">
        <f>IF(AND('Mapa final'!#REF!="Baja",'Mapa final'!#REF!="Moderado"),CONCATENATE("R8C",'Mapa final'!#REF!),"")</f>
        <v>#REF!</v>
      </c>
      <c r="AA43" s="38" t="e">
        <f>IF(AND('Mapa final'!#REF!="Baja",'Mapa final'!#REF!="Moderado"),CONCATENATE("R8C",'Mapa final'!#REF!),"")</f>
        <v>#REF!</v>
      </c>
      <c r="AB43" s="21" t="e">
        <f>IF(AND('Mapa final'!#REF!="Baja",'Mapa final'!#REF!="Mayor"),CONCATENATE("R8C",'Mapa final'!#REF!),"")</f>
        <v>#REF!</v>
      </c>
      <c r="AC43" s="22" t="e">
        <f>IF(AND('Mapa final'!#REF!="Baja",'Mapa final'!#REF!="Mayor"),CONCATENATE("R8C",'Mapa final'!#REF!),"")</f>
        <v>#REF!</v>
      </c>
      <c r="AD43" s="22" t="e">
        <f>IF(AND('Mapa final'!#REF!="Baja",'Mapa final'!#REF!="Mayor"),CONCATENATE("R8C",'Mapa final'!#REF!),"")</f>
        <v>#REF!</v>
      </c>
      <c r="AE43" s="22" t="e">
        <f>IF(AND('Mapa final'!#REF!="Baja",'Mapa final'!#REF!="Mayor"),CONCATENATE("R8C",'Mapa final'!#REF!),"")</f>
        <v>#REF!</v>
      </c>
      <c r="AF43" s="22" t="e">
        <f>IF(AND('Mapa final'!#REF!="Baja",'Mapa final'!#REF!="Mayor"),CONCATENATE("R8C",'Mapa final'!#REF!),"")</f>
        <v>#REF!</v>
      </c>
      <c r="AG43" s="23" t="e">
        <f>IF(AND('Mapa final'!#REF!="Baja",'Mapa final'!#REF!="Mayor"),CONCATENATE("R8C",'Mapa final'!#REF!),"")</f>
        <v>#REF!</v>
      </c>
      <c r="AH43" s="24" t="e">
        <f>IF(AND('Mapa final'!#REF!="Baja",'Mapa final'!#REF!="Catastrófico"),CONCATENATE("R8C",'Mapa final'!#REF!),"")</f>
        <v>#REF!</v>
      </c>
      <c r="AI43" s="25" t="e">
        <f>IF(AND('Mapa final'!#REF!="Baja",'Mapa final'!#REF!="Catastrófico"),CONCATENATE("R8C",'Mapa final'!#REF!),"")</f>
        <v>#REF!</v>
      </c>
      <c r="AJ43" s="25" t="e">
        <f>IF(AND('Mapa final'!#REF!="Baja",'Mapa final'!#REF!="Catastrófico"),CONCATENATE("R8C",'Mapa final'!#REF!),"")</f>
        <v>#REF!</v>
      </c>
      <c r="AK43" s="25" t="e">
        <f>IF(AND('Mapa final'!#REF!="Baja",'Mapa final'!#REF!="Catastrófico"),CONCATENATE("R8C",'Mapa final'!#REF!),"")</f>
        <v>#REF!</v>
      </c>
      <c r="AL43" s="25" t="e">
        <f>IF(AND('Mapa final'!#REF!="Baja",'Mapa final'!#REF!="Catastrófico"),CONCATENATE("R8C",'Mapa final'!#REF!),"")</f>
        <v>#REF!</v>
      </c>
      <c r="AM43" s="26" t="e">
        <f>IF(AND('Mapa final'!#REF!="Baja",'Mapa final'!#REF!="Catastrófico"),CONCATENATE("R8C",'Mapa final'!#REF!),"")</f>
        <v>#REF!</v>
      </c>
      <c r="AN43" s="1"/>
      <c r="AO43" s="289"/>
      <c r="AP43" s="235"/>
      <c r="AQ43" s="235"/>
      <c r="AR43" s="235"/>
      <c r="AS43" s="235"/>
      <c r="AT43" s="290"/>
    </row>
    <row r="44" spans="2:46" ht="15" customHeight="1" x14ac:dyDescent="0.25">
      <c r="B44" s="280"/>
      <c r="C44" s="235"/>
      <c r="D44" s="236"/>
      <c r="E44" s="247"/>
      <c r="F44" s="235"/>
      <c r="G44" s="235"/>
      <c r="H44" s="235"/>
      <c r="I44" s="235"/>
      <c r="J44" s="45" t="e">
        <f>IF(AND('Mapa final'!#REF!="Baja",'Mapa final'!#REF!="Leve"),CONCATENATE("R9C",'Mapa final'!#REF!),"")</f>
        <v>#REF!</v>
      </c>
      <c r="K44" s="46" t="e">
        <f>IF(AND('Mapa final'!#REF!="Baja",'Mapa final'!#REF!="Leve"),CONCATENATE("R9C",'Mapa final'!#REF!),"")</f>
        <v>#REF!</v>
      </c>
      <c r="L44" s="46" t="e">
        <f>IF(AND('Mapa final'!#REF!="Baja",'Mapa final'!#REF!="Leve"),CONCATENATE("R9C",'Mapa final'!#REF!),"")</f>
        <v>#REF!</v>
      </c>
      <c r="M44" s="46" t="e">
        <f>IF(AND('Mapa final'!#REF!="Baja",'Mapa final'!#REF!="Leve"),CONCATENATE("R9C",'Mapa final'!#REF!),"")</f>
        <v>#REF!</v>
      </c>
      <c r="N44" s="46" t="e">
        <f>IF(AND('Mapa final'!#REF!="Baja",'Mapa final'!#REF!="Leve"),CONCATENATE("R9C",'Mapa final'!#REF!),"")</f>
        <v>#REF!</v>
      </c>
      <c r="O44" s="47" t="e">
        <f>IF(AND('Mapa final'!#REF!="Baja",'Mapa final'!#REF!="Leve"),CONCATENATE("R9C",'Mapa final'!#REF!),"")</f>
        <v>#REF!</v>
      </c>
      <c r="P44" s="36" t="e">
        <f>IF(AND('Mapa final'!#REF!="Baja",'Mapa final'!#REF!="Menor"),CONCATENATE("R9C",'Mapa final'!#REF!),"")</f>
        <v>#REF!</v>
      </c>
      <c r="Q44" s="37" t="e">
        <f>IF(AND('Mapa final'!#REF!="Baja",'Mapa final'!#REF!="Menor"),CONCATENATE("R9C",'Mapa final'!#REF!),"")</f>
        <v>#REF!</v>
      </c>
      <c r="R44" s="37" t="e">
        <f>IF(AND('Mapa final'!#REF!="Baja",'Mapa final'!#REF!="Menor"),CONCATENATE("R9C",'Mapa final'!#REF!),"")</f>
        <v>#REF!</v>
      </c>
      <c r="S44" s="37" t="e">
        <f>IF(AND('Mapa final'!#REF!="Baja",'Mapa final'!#REF!="Menor"),CONCATENATE("R9C",'Mapa final'!#REF!),"")</f>
        <v>#REF!</v>
      </c>
      <c r="T44" s="37" t="e">
        <f>IF(AND('Mapa final'!#REF!="Baja",'Mapa final'!#REF!="Menor"),CONCATENATE("R9C",'Mapa final'!#REF!),"")</f>
        <v>#REF!</v>
      </c>
      <c r="U44" s="38" t="e">
        <f>IF(AND('Mapa final'!#REF!="Baja",'Mapa final'!#REF!="Menor"),CONCATENATE("R9C",'Mapa final'!#REF!),"")</f>
        <v>#REF!</v>
      </c>
      <c r="V44" s="36" t="e">
        <f>IF(AND('Mapa final'!#REF!="Baja",'Mapa final'!#REF!="Moderado"),CONCATENATE("R9C",'Mapa final'!#REF!),"")</f>
        <v>#REF!</v>
      </c>
      <c r="W44" s="37" t="e">
        <f>IF(AND('Mapa final'!#REF!="Baja",'Mapa final'!#REF!="Moderado"),CONCATENATE("R9C",'Mapa final'!#REF!),"")</f>
        <v>#REF!</v>
      </c>
      <c r="X44" s="37" t="e">
        <f>IF(AND('Mapa final'!#REF!="Baja",'Mapa final'!#REF!="Moderado"),CONCATENATE("R9C",'Mapa final'!#REF!),"")</f>
        <v>#REF!</v>
      </c>
      <c r="Y44" s="37" t="e">
        <f>IF(AND('Mapa final'!#REF!="Baja",'Mapa final'!#REF!="Moderado"),CONCATENATE("R9C",'Mapa final'!#REF!),"")</f>
        <v>#REF!</v>
      </c>
      <c r="Z44" s="37" t="e">
        <f>IF(AND('Mapa final'!#REF!="Baja",'Mapa final'!#REF!="Moderado"),CONCATENATE("R9C",'Mapa final'!#REF!),"")</f>
        <v>#REF!</v>
      </c>
      <c r="AA44" s="38" t="e">
        <f>IF(AND('Mapa final'!#REF!="Baja",'Mapa final'!#REF!="Moderado"),CONCATENATE("R9C",'Mapa final'!#REF!),"")</f>
        <v>#REF!</v>
      </c>
      <c r="AB44" s="21" t="e">
        <f>IF(AND('Mapa final'!#REF!="Baja",'Mapa final'!#REF!="Mayor"),CONCATENATE("R9C",'Mapa final'!#REF!),"")</f>
        <v>#REF!</v>
      </c>
      <c r="AC44" s="22" t="e">
        <f>IF(AND('Mapa final'!#REF!="Baja",'Mapa final'!#REF!="Mayor"),CONCATENATE("R9C",'Mapa final'!#REF!),"")</f>
        <v>#REF!</v>
      </c>
      <c r="AD44" s="22" t="e">
        <f>IF(AND('Mapa final'!#REF!="Baja",'Mapa final'!#REF!="Mayor"),CONCATENATE("R9C",'Mapa final'!#REF!),"")</f>
        <v>#REF!</v>
      </c>
      <c r="AE44" s="22" t="e">
        <f>IF(AND('Mapa final'!#REF!="Baja",'Mapa final'!#REF!="Mayor"),CONCATENATE("R9C",'Mapa final'!#REF!),"")</f>
        <v>#REF!</v>
      </c>
      <c r="AF44" s="22" t="e">
        <f>IF(AND('Mapa final'!#REF!="Baja",'Mapa final'!#REF!="Mayor"),CONCATENATE("R9C",'Mapa final'!#REF!),"")</f>
        <v>#REF!</v>
      </c>
      <c r="AG44" s="23" t="e">
        <f>IF(AND('Mapa final'!#REF!="Baja",'Mapa final'!#REF!="Mayor"),CONCATENATE("R9C",'Mapa final'!#REF!),"")</f>
        <v>#REF!</v>
      </c>
      <c r="AH44" s="24" t="e">
        <f>IF(AND('Mapa final'!#REF!="Baja",'Mapa final'!#REF!="Catastrófico"),CONCATENATE("R9C",'Mapa final'!#REF!),"")</f>
        <v>#REF!</v>
      </c>
      <c r="AI44" s="25" t="e">
        <f>IF(AND('Mapa final'!#REF!="Baja",'Mapa final'!#REF!="Catastrófico"),CONCATENATE("R9C",'Mapa final'!#REF!),"")</f>
        <v>#REF!</v>
      </c>
      <c r="AJ44" s="25" t="e">
        <f>IF(AND('Mapa final'!#REF!="Baja",'Mapa final'!#REF!="Catastrófico"),CONCATENATE("R9C",'Mapa final'!#REF!),"")</f>
        <v>#REF!</v>
      </c>
      <c r="AK44" s="25" t="e">
        <f>IF(AND('Mapa final'!#REF!="Baja",'Mapa final'!#REF!="Catastrófico"),CONCATENATE("R9C",'Mapa final'!#REF!),"")</f>
        <v>#REF!</v>
      </c>
      <c r="AL44" s="25" t="e">
        <f>IF(AND('Mapa final'!#REF!="Baja",'Mapa final'!#REF!="Catastrófico"),CONCATENATE("R9C",'Mapa final'!#REF!),"")</f>
        <v>#REF!</v>
      </c>
      <c r="AM44" s="26" t="e">
        <f>IF(AND('Mapa final'!#REF!="Baja",'Mapa final'!#REF!="Catastrófico"),CONCATENATE("R9C",'Mapa final'!#REF!),"")</f>
        <v>#REF!</v>
      </c>
      <c r="AN44" s="1"/>
      <c r="AO44" s="289"/>
      <c r="AP44" s="235"/>
      <c r="AQ44" s="235"/>
      <c r="AR44" s="235"/>
      <c r="AS44" s="235"/>
      <c r="AT44" s="290"/>
    </row>
    <row r="45" spans="2:46" ht="15.75" customHeight="1" x14ac:dyDescent="0.25">
      <c r="B45" s="280"/>
      <c r="C45" s="235"/>
      <c r="D45" s="236"/>
      <c r="E45" s="270"/>
      <c r="F45" s="271"/>
      <c r="G45" s="271"/>
      <c r="H45" s="271"/>
      <c r="I45" s="271"/>
      <c r="J45" s="48" t="e">
        <f>IF(AND('Mapa final'!#REF!="Baja",'Mapa final'!#REF!="Leve"),CONCATENATE("R10C",'Mapa final'!#REF!),"")</f>
        <v>#REF!</v>
      </c>
      <c r="K45" s="49" t="e">
        <f>IF(AND('Mapa final'!#REF!="Baja",'Mapa final'!#REF!="Leve"),CONCATENATE("R10C",'Mapa final'!#REF!),"")</f>
        <v>#REF!</v>
      </c>
      <c r="L45" s="49" t="e">
        <f>IF(AND('Mapa final'!#REF!="Baja",'Mapa final'!#REF!="Leve"),CONCATENATE("R10C",'Mapa final'!#REF!),"")</f>
        <v>#REF!</v>
      </c>
      <c r="M45" s="49" t="e">
        <f>IF(AND('Mapa final'!#REF!="Baja",'Mapa final'!#REF!="Leve"),CONCATENATE("R10C",'Mapa final'!#REF!),"")</f>
        <v>#REF!</v>
      </c>
      <c r="N45" s="49" t="e">
        <f>IF(AND('Mapa final'!#REF!="Baja",'Mapa final'!#REF!="Leve"),CONCATENATE("R10C",'Mapa final'!#REF!),"")</f>
        <v>#REF!</v>
      </c>
      <c r="O45" s="50" t="e">
        <f>IF(AND('Mapa final'!#REF!="Baja",'Mapa final'!#REF!="Leve"),CONCATENATE("R10C",'Mapa final'!#REF!),"")</f>
        <v>#REF!</v>
      </c>
      <c r="P45" s="36" t="e">
        <f>IF(AND('Mapa final'!#REF!="Baja",'Mapa final'!#REF!="Menor"),CONCATENATE("R10C",'Mapa final'!#REF!),"")</f>
        <v>#REF!</v>
      </c>
      <c r="Q45" s="37" t="e">
        <f>IF(AND('Mapa final'!#REF!="Baja",'Mapa final'!#REF!="Menor"),CONCATENATE("R10C",'Mapa final'!#REF!),"")</f>
        <v>#REF!</v>
      </c>
      <c r="R45" s="37" t="e">
        <f>IF(AND('Mapa final'!#REF!="Baja",'Mapa final'!#REF!="Menor"),CONCATENATE("R10C",'Mapa final'!#REF!),"")</f>
        <v>#REF!</v>
      </c>
      <c r="S45" s="37" t="e">
        <f>IF(AND('Mapa final'!#REF!="Baja",'Mapa final'!#REF!="Menor"),CONCATENATE("R10C",'Mapa final'!#REF!),"")</f>
        <v>#REF!</v>
      </c>
      <c r="T45" s="37" t="e">
        <f>IF(AND('Mapa final'!#REF!="Baja",'Mapa final'!#REF!="Menor"),CONCATENATE("R10C",'Mapa final'!#REF!),"")</f>
        <v>#REF!</v>
      </c>
      <c r="U45" s="38" t="e">
        <f>IF(AND('Mapa final'!#REF!="Baja",'Mapa final'!#REF!="Menor"),CONCATENATE("R10C",'Mapa final'!#REF!),"")</f>
        <v>#REF!</v>
      </c>
      <c r="V45" s="39" t="e">
        <f>IF(AND('Mapa final'!#REF!="Baja",'Mapa final'!#REF!="Moderado"),CONCATENATE("R10C",'Mapa final'!#REF!),"")</f>
        <v>#REF!</v>
      </c>
      <c r="W45" s="40" t="e">
        <f>IF(AND('Mapa final'!#REF!="Baja",'Mapa final'!#REF!="Moderado"),CONCATENATE("R10C",'Mapa final'!#REF!),"")</f>
        <v>#REF!</v>
      </c>
      <c r="X45" s="40" t="e">
        <f>IF(AND('Mapa final'!#REF!="Baja",'Mapa final'!#REF!="Moderado"),CONCATENATE("R10C",'Mapa final'!#REF!),"")</f>
        <v>#REF!</v>
      </c>
      <c r="Y45" s="40" t="e">
        <f>IF(AND('Mapa final'!#REF!="Baja",'Mapa final'!#REF!="Moderado"),CONCATENATE("R10C",'Mapa final'!#REF!),"")</f>
        <v>#REF!</v>
      </c>
      <c r="Z45" s="40" t="e">
        <f>IF(AND('Mapa final'!#REF!="Baja",'Mapa final'!#REF!="Moderado"),CONCATENATE("R10C",'Mapa final'!#REF!),"")</f>
        <v>#REF!</v>
      </c>
      <c r="AA45" s="41" t="e">
        <f>IF(AND('Mapa final'!#REF!="Baja",'Mapa final'!#REF!="Moderado"),CONCATENATE("R10C",'Mapa final'!#REF!),"")</f>
        <v>#REF!</v>
      </c>
      <c r="AB45" s="27" t="e">
        <f>IF(AND('Mapa final'!#REF!="Baja",'Mapa final'!#REF!="Mayor"),CONCATENATE("R10C",'Mapa final'!#REF!),"")</f>
        <v>#REF!</v>
      </c>
      <c r="AC45" s="28" t="e">
        <f>IF(AND('Mapa final'!#REF!="Baja",'Mapa final'!#REF!="Mayor"),CONCATENATE("R10C",'Mapa final'!#REF!),"")</f>
        <v>#REF!</v>
      </c>
      <c r="AD45" s="28" t="e">
        <f>IF(AND('Mapa final'!#REF!="Baja",'Mapa final'!#REF!="Mayor"),CONCATENATE("R10C",'Mapa final'!#REF!),"")</f>
        <v>#REF!</v>
      </c>
      <c r="AE45" s="28" t="e">
        <f>IF(AND('Mapa final'!#REF!="Baja",'Mapa final'!#REF!="Mayor"),CONCATENATE("R10C",'Mapa final'!#REF!),"")</f>
        <v>#REF!</v>
      </c>
      <c r="AF45" s="28" t="e">
        <f>IF(AND('Mapa final'!#REF!="Baja",'Mapa final'!#REF!="Mayor"),CONCATENATE("R10C",'Mapa final'!#REF!),"")</f>
        <v>#REF!</v>
      </c>
      <c r="AG45" s="29" t="e">
        <f>IF(AND('Mapa final'!#REF!="Baja",'Mapa final'!#REF!="Mayor"),CONCATENATE("R10C",'Mapa final'!#REF!),"")</f>
        <v>#REF!</v>
      </c>
      <c r="AH45" s="30" t="e">
        <f>IF(AND('Mapa final'!#REF!="Baja",'Mapa final'!#REF!="Catastrófico"),CONCATENATE("R10C",'Mapa final'!#REF!),"")</f>
        <v>#REF!</v>
      </c>
      <c r="AI45" s="31" t="e">
        <f>IF(AND('Mapa final'!#REF!="Baja",'Mapa final'!#REF!="Catastrófico"),CONCATENATE("R10C",'Mapa final'!#REF!),"")</f>
        <v>#REF!</v>
      </c>
      <c r="AJ45" s="31" t="e">
        <f>IF(AND('Mapa final'!#REF!="Baja",'Mapa final'!#REF!="Catastrófico"),CONCATENATE("R10C",'Mapa final'!#REF!),"")</f>
        <v>#REF!</v>
      </c>
      <c r="AK45" s="31" t="e">
        <f>IF(AND('Mapa final'!#REF!="Baja",'Mapa final'!#REF!="Catastrófico"),CONCATENATE("R10C",'Mapa final'!#REF!),"")</f>
        <v>#REF!</v>
      </c>
      <c r="AL45" s="31" t="e">
        <f>IF(AND('Mapa final'!#REF!="Baja",'Mapa final'!#REF!="Catastrófico"),CONCATENATE("R10C",'Mapa final'!#REF!),"")</f>
        <v>#REF!</v>
      </c>
      <c r="AM45" s="32" t="e">
        <f>IF(AND('Mapa final'!#REF!="Baja",'Mapa final'!#REF!="Catastrófico"),CONCATENATE("R10C",'Mapa final'!#REF!),"")</f>
        <v>#REF!</v>
      </c>
      <c r="AN45" s="1"/>
      <c r="AO45" s="291"/>
      <c r="AP45" s="292"/>
      <c r="AQ45" s="292"/>
      <c r="AR45" s="292"/>
      <c r="AS45" s="292"/>
      <c r="AT45" s="293"/>
    </row>
    <row r="46" spans="2:46" ht="46.5" customHeight="1" x14ac:dyDescent="0.35">
      <c r="B46" s="280"/>
      <c r="C46" s="235"/>
      <c r="D46" s="236"/>
      <c r="E46" s="298" t="s">
        <v>103</v>
      </c>
      <c r="F46" s="269"/>
      <c r="G46" s="269"/>
      <c r="H46" s="269"/>
      <c r="I46" s="255"/>
      <c r="J46" s="42" t="str">
        <f>IF(AND('Mapa final'!$Y$16="Muy Baja",'Mapa final'!$AA$16="Leve"),CONCATENATE("R1C",'Mapa final'!$O$16),"")</f>
        <v/>
      </c>
      <c r="K46" s="43" t="str">
        <f>IF(AND('Mapa final'!$Y$17="Muy Baja",'Mapa final'!$AA$17="Leve"),CONCATENATE("R1C",'Mapa final'!$O$17),"")</f>
        <v/>
      </c>
      <c r="L46" s="43" t="str">
        <f>IF(AND('Mapa final'!$Y$18="Muy Baja",'Mapa final'!$AA$18="Leve"),CONCATENATE("R1C",'Mapa final'!$O$18),"")</f>
        <v/>
      </c>
      <c r="M46" s="43" t="e">
        <f>IF(AND('Mapa final'!#REF!="Muy Baja",'Mapa final'!#REF!="Leve"),CONCATENATE("R1C",'Mapa final'!#REF!),"")</f>
        <v>#REF!</v>
      </c>
      <c r="N46" s="43" t="e">
        <f>IF(AND('Mapa final'!#REF!="Muy Baja",'Mapa final'!#REF!="Leve"),CONCATENATE("R1C",'Mapa final'!#REF!),"")</f>
        <v>#REF!</v>
      </c>
      <c r="O46" s="44" t="e">
        <f>IF(AND('Mapa final'!#REF!="Muy Baja",'Mapa final'!#REF!="Leve"),CONCATENATE("R1C",'Mapa final'!#REF!),"")</f>
        <v>#REF!</v>
      </c>
      <c r="P46" s="42" t="str">
        <f>IF(AND('Mapa final'!$Y$16="Muy Baja",'Mapa final'!$AA$16="Menor"),CONCATENATE("R1C",'Mapa final'!$O$16),"")</f>
        <v/>
      </c>
      <c r="Q46" s="43" t="str">
        <f>IF(AND('Mapa final'!$Y$17="Muy Baja",'Mapa final'!$AA$17="Menor"),CONCATENATE("R1C",'Mapa final'!$O$17),"")</f>
        <v/>
      </c>
      <c r="R46" s="43" t="str">
        <f>IF(AND('Mapa final'!$Y$18="Muy Baja",'Mapa final'!$AA$18="Menor"),CONCATENATE("R1C",'Mapa final'!$O$18),"")</f>
        <v>R1C3</v>
      </c>
      <c r="S46" s="43" t="e">
        <f>IF(AND('Mapa final'!#REF!="Muy Baja",'Mapa final'!#REF!="Menor"),CONCATENATE("R1C",'Mapa final'!#REF!),"")</f>
        <v>#REF!</v>
      </c>
      <c r="T46" s="43" t="e">
        <f>IF(AND('Mapa final'!#REF!="Muy Baja",'Mapa final'!#REF!="Menor"),CONCATENATE("R1C",'Mapa final'!#REF!),"")</f>
        <v>#REF!</v>
      </c>
      <c r="U46" s="44" t="e">
        <f>IF(AND('Mapa final'!#REF!="Muy Baja",'Mapa final'!#REF!="Menor"),CONCATENATE("R1C",'Mapa final'!#REF!),"")</f>
        <v>#REF!</v>
      </c>
      <c r="V46" s="33" t="str">
        <f>IF(AND('Mapa final'!$Y$16="Muy Baja",'Mapa final'!$AA$16="Moderado"),CONCATENATE("R1C",'Mapa final'!$O$16),"")</f>
        <v/>
      </c>
      <c r="W46" s="51" t="str">
        <f>IF(AND('Mapa final'!$Y$17="Muy Baja",'Mapa final'!$AA$17="Moderado"),CONCATENATE("R1C",'Mapa final'!$O$17),"")</f>
        <v/>
      </c>
      <c r="X46" s="34" t="str">
        <f>IF(AND('Mapa final'!$Y$18="Muy Baja",'Mapa final'!$AA$18="Moderado"),CONCATENATE("R1C",'Mapa final'!$O$18),"")</f>
        <v/>
      </c>
      <c r="Y46" s="34" t="e">
        <f>IF(AND('Mapa final'!#REF!="Muy Baja",'Mapa final'!#REF!="Moderado"),CONCATENATE("R1C",'Mapa final'!#REF!),"")</f>
        <v>#REF!</v>
      </c>
      <c r="Z46" s="34" t="e">
        <f>IF(AND('Mapa final'!#REF!="Muy Baja",'Mapa final'!#REF!="Moderado"),CONCATENATE("R1C",'Mapa final'!#REF!),"")</f>
        <v>#REF!</v>
      </c>
      <c r="AA46" s="35" t="e">
        <f>IF(AND('Mapa final'!#REF!="Muy Baja",'Mapa final'!#REF!="Moderado"),CONCATENATE("R1C",'Mapa final'!#REF!),"")</f>
        <v>#REF!</v>
      </c>
      <c r="AB46" s="15" t="str">
        <f>IF(AND('Mapa final'!$Y$16="Muy Baja",'Mapa final'!$AA$16="Mayor"),CONCATENATE("R1C",'Mapa final'!$O$16),"")</f>
        <v/>
      </c>
      <c r="AC46" s="16" t="str">
        <f>IF(AND('Mapa final'!$Y$17="Muy Baja",'Mapa final'!$AA$17="Mayor"),CONCATENATE("R1C",'Mapa final'!$O$17),"")</f>
        <v/>
      </c>
      <c r="AD46" s="16" t="str">
        <f>IF(AND('Mapa final'!$Y$18="Muy Baja",'Mapa final'!$AA$18="Mayor"),CONCATENATE("R1C",'Mapa final'!$O$18),"")</f>
        <v/>
      </c>
      <c r="AE46" s="16" t="e">
        <f>IF(AND('Mapa final'!#REF!="Muy Baja",'Mapa final'!#REF!="Mayor"),CONCATENATE("R1C",'Mapa final'!#REF!),"")</f>
        <v>#REF!</v>
      </c>
      <c r="AF46" s="16" t="e">
        <f>IF(AND('Mapa final'!#REF!="Muy Baja",'Mapa final'!#REF!="Mayor"),CONCATENATE("R1C",'Mapa final'!#REF!),"")</f>
        <v>#REF!</v>
      </c>
      <c r="AG46" s="17" t="e">
        <f>IF(AND('Mapa final'!#REF!="Muy Baja",'Mapa final'!#REF!="Mayor"),CONCATENATE("R1C",'Mapa final'!#REF!),"")</f>
        <v>#REF!</v>
      </c>
      <c r="AH46" s="18" t="str">
        <f>IF(AND('Mapa final'!$Y$16="Muy Baja",'Mapa final'!$AA$16="Catastrófico"),CONCATENATE("R1C",'Mapa final'!$O$16),"")</f>
        <v/>
      </c>
      <c r="AI46" s="19" t="str">
        <f>IF(AND('Mapa final'!$Y$17="Muy Baja",'Mapa final'!$AA$17="Catastrófico"),CONCATENATE("R1C",'Mapa final'!$O$17),"")</f>
        <v/>
      </c>
      <c r="AJ46" s="19" t="str">
        <f>IF(AND('Mapa final'!$Y$18="Muy Baja",'Mapa final'!$AA$18="Catastrófico"),CONCATENATE("R1C",'Mapa final'!$O$18),"")</f>
        <v/>
      </c>
      <c r="AK46" s="19" t="e">
        <f>IF(AND('Mapa final'!#REF!="Muy Baja",'Mapa final'!#REF!="Catastrófico"),CONCATENATE("R1C",'Mapa final'!#REF!),"")</f>
        <v>#REF!</v>
      </c>
      <c r="AL46" s="19" t="e">
        <f>IF(AND('Mapa final'!#REF!="Muy Baja",'Mapa final'!#REF!="Catastrófico"),CONCATENATE("R1C",'Mapa final'!#REF!),"")</f>
        <v>#REF!</v>
      </c>
      <c r="AM46" s="20" t="e">
        <f>IF(AND('Mapa final'!#REF!="Muy Baja",'Mapa final'!#REF!="Catastrófico"),CONCATENATE("R1C",'Mapa final'!#REF!),"")</f>
        <v>#REF!</v>
      </c>
      <c r="AN46" s="1"/>
      <c r="AO46" s="1"/>
      <c r="AP46" s="1"/>
      <c r="AQ46" s="1"/>
      <c r="AR46" s="1"/>
      <c r="AS46" s="1"/>
      <c r="AT46" s="1"/>
    </row>
    <row r="47" spans="2:46" ht="46.5" customHeight="1" x14ac:dyDescent="0.25">
      <c r="B47" s="280"/>
      <c r="C47" s="235"/>
      <c r="D47" s="236"/>
      <c r="E47" s="247"/>
      <c r="F47" s="235"/>
      <c r="G47" s="235"/>
      <c r="H47" s="235"/>
      <c r="I47" s="236"/>
      <c r="J47" s="45" t="str">
        <f>IF(AND('Mapa final'!$Y$21="Muy Baja",'Mapa final'!$AA$21="Leve"),CONCATENATE("R2C",'Mapa final'!$O$21),"")</f>
        <v/>
      </c>
      <c r="K47" s="46" t="e">
        <f>IF(AND('Mapa final'!#REF!="Muy Baja",'Mapa final'!#REF!="Leve"),CONCATENATE("R2C",'Mapa final'!#REF!),"")</f>
        <v>#REF!</v>
      </c>
      <c r="L47" s="46" t="e">
        <f>IF(AND('Mapa final'!#REF!="Muy Baja",'Mapa final'!#REF!="Leve"),CONCATENATE("R2C",'Mapa final'!#REF!),"")</f>
        <v>#REF!</v>
      </c>
      <c r="M47" s="46" t="e">
        <f>IF(AND('Mapa final'!#REF!="Muy Baja",'Mapa final'!#REF!="Leve"),CONCATENATE("R2C",'Mapa final'!#REF!),"")</f>
        <v>#REF!</v>
      </c>
      <c r="N47" s="46" t="str">
        <f>IF(AND('Mapa final'!$Y$22="Muy Baja",'Mapa final'!$AA$22="Leve"),CONCATENATE("R2C",'Mapa final'!$O$22),"")</f>
        <v/>
      </c>
      <c r="O47" s="47" t="str">
        <f>IF(AND('Mapa final'!$Y$23="Muy Baja",'Mapa final'!$AA$23="Leve"),CONCATENATE("R2C",'Mapa final'!$O$23),"")</f>
        <v/>
      </c>
      <c r="P47" s="45" t="str">
        <f>IF(AND('Mapa final'!$Y$21="Muy Baja",'Mapa final'!$AA$21="Menor"),CONCATENATE("R2C",'Mapa final'!$O$21),"")</f>
        <v/>
      </c>
      <c r="Q47" s="46" t="e">
        <f>IF(AND('Mapa final'!#REF!="Muy Baja",'Mapa final'!#REF!="Menor"),CONCATENATE("R2C",'Mapa final'!#REF!),"")</f>
        <v>#REF!</v>
      </c>
      <c r="R47" s="46" t="e">
        <f>IF(AND('Mapa final'!#REF!="Muy Baja",'Mapa final'!#REF!="Menor"),CONCATENATE("R2C",'Mapa final'!#REF!),"")</f>
        <v>#REF!</v>
      </c>
      <c r="S47" s="46" t="e">
        <f>IF(AND('Mapa final'!#REF!="Muy Baja",'Mapa final'!#REF!="Menor"),CONCATENATE("R2C",'Mapa final'!#REF!),"")</f>
        <v>#REF!</v>
      </c>
      <c r="T47" s="46" t="str">
        <f>IF(AND('Mapa final'!$Y$22="Muy Baja",'Mapa final'!$AA$22="Menor"),CONCATENATE("R2C",'Mapa final'!$O$22),"")</f>
        <v/>
      </c>
      <c r="U47" s="47" t="str">
        <f>IF(AND('Mapa final'!$Y$23="Muy Baja",'Mapa final'!$AA$23="Menor"),CONCATENATE("R2C",'Mapa final'!$O$23),"")</f>
        <v/>
      </c>
      <c r="V47" s="36" t="str">
        <f>IF(AND('Mapa final'!$Y$21="Muy Baja",'Mapa final'!$AA$21="Moderado"),CONCATENATE("R2C",'Mapa final'!$O$21),"")</f>
        <v/>
      </c>
      <c r="W47" s="37" t="e">
        <f>IF(AND('Mapa final'!#REF!="Muy Baja",'Mapa final'!#REF!="Moderado"),CONCATENATE("R2C",'Mapa final'!#REF!),"")</f>
        <v>#REF!</v>
      </c>
      <c r="X47" s="37" t="e">
        <f>IF(AND('Mapa final'!#REF!="Muy Baja",'Mapa final'!#REF!="Moderado"),CONCATENATE("R2C",'Mapa final'!#REF!),"")</f>
        <v>#REF!</v>
      </c>
      <c r="Y47" s="37" t="e">
        <f>IF(AND('Mapa final'!#REF!="Muy Baja",'Mapa final'!#REF!="Moderado"),CONCATENATE("R2C",'Mapa final'!#REF!),"")</f>
        <v>#REF!</v>
      </c>
      <c r="Z47" s="37" t="str">
        <f>IF(AND('Mapa final'!$Y$22="Muy Baja",'Mapa final'!$AA$22="Moderado"),CONCATENATE("R2C",'Mapa final'!$O$22),"")</f>
        <v/>
      </c>
      <c r="AA47" s="38" t="str">
        <f>IF(AND('Mapa final'!$Y$23="Muy Baja",'Mapa final'!$AA$23="Moderado"),CONCATENATE("R2C",'Mapa final'!$O$23),"")</f>
        <v/>
      </c>
      <c r="AB47" s="21" t="str">
        <f>IF(AND('Mapa final'!$Y$21="Muy Baja",'Mapa final'!$AA$21="Mayor"),CONCATENATE("R2C",'Mapa final'!$O$21),"")</f>
        <v/>
      </c>
      <c r="AC47" s="22" t="e">
        <f>IF(AND('Mapa final'!#REF!="Muy Baja",'Mapa final'!#REF!="Mayor"),CONCATENATE("R2C",'Mapa final'!#REF!),"")</f>
        <v>#REF!</v>
      </c>
      <c r="AD47" s="22" t="e">
        <f>IF(AND('Mapa final'!#REF!="Muy Baja",'Mapa final'!#REF!="Mayor"),CONCATENATE("R2C",'Mapa final'!#REF!),"")</f>
        <v>#REF!</v>
      </c>
      <c r="AE47" s="22" t="e">
        <f>IF(AND('Mapa final'!#REF!="Muy Baja",'Mapa final'!#REF!="Mayor"),CONCATENATE("R2C",'Mapa final'!#REF!),"")</f>
        <v>#REF!</v>
      </c>
      <c r="AF47" s="22" t="str">
        <f>IF(AND('Mapa final'!$Y$22="Muy Baja",'Mapa final'!$AA$22="Mayor"),CONCATENATE("R2C",'Mapa final'!$O$22),"")</f>
        <v/>
      </c>
      <c r="AG47" s="23" t="str">
        <f>IF(AND('Mapa final'!$Y$23="Muy Baja",'Mapa final'!$AA$23="Mayor"),CONCATENATE("R2C",'Mapa final'!$O$23),"")</f>
        <v/>
      </c>
      <c r="AH47" s="24" t="str">
        <f>IF(AND('Mapa final'!$Y$21="Muy Baja",'Mapa final'!$AA$21="Catastrófico"),CONCATENATE("R2C",'Mapa final'!$O$21),"")</f>
        <v/>
      </c>
      <c r="AI47" s="25" t="e">
        <f>IF(AND('Mapa final'!#REF!="Muy Baja",'Mapa final'!#REF!="Catastrófico"),CONCATENATE("R2C",'Mapa final'!#REF!),"")</f>
        <v>#REF!</v>
      </c>
      <c r="AJ47" s="25" t="e">
        <f>IF(AND('Mapa final'!#REF!="Muy Baja",'Mapa final'!#REF!="Catastrófico"),CONCATENATE("R2C",'Mapa final'!#REF!),"")</f>
        <v>#REF!</v>
      </c>
      <c r="AK47" s="25" t="e">
        <f>IF(AND('Mapa final'!#REF!="Muy Baja",'Mapa final'!#REF!="Catastrófico"),CONCATENATE("R2C",'Mapa final'!#REF!),"")</f>
        <v>#REF!</v>
      </c>
      <c r="AL47" s="25" t="str">
        <f>IF(AND('Mapa final'!$Y$22="Muy Baja",'Mapa final'!$AA$22="Catastrófico"),CONCATENATE("R2C",'Mapa final'!$O$22),"")</f>
        <v/>
      </c>
      <c r="AM47" s="26" t="str">
        <f>IF(AND('Mapa final'!$Y$23="Muy Baja",'Mapa final'!$AA$23="Catastrófico"),CONCATENATE("R2C",'Mapa final'!$O$23),"")</f>
        <v/>
      </c>
      <c r="AN47" s="1"/>
      <c r="AO47" s="1"/>
      <c r="AP47" s="1"/>
      <c r="AQ47" s="1"/>
      <c r="AR47" s="1"/>
      <c r="AS47" s="1"/>
      <c r="AT47" s="1"/>
    </row>
    <row r="48" spans="2:46" ht="15" customHeight="1" x14ac:dyDescent="0.25">
      <c r="B48" s="280"/>
      <c r="C48" s="235"/>
      <c r="D48" s="236"/>
      <c r="E48" s="247"/>
      <c r="F48" s="235"/>
      <c r="G48" s="235"/>
      <c r="H48" s="235"/>
      <c r="I48" s="236"/>
      <c r="J48" s="45" t="str">
        <f>IF(AND('Mapa final'!$Y$26="Muy Baja",'Mapa final'!$AA$26="Leve"),CONCATENATE("R3C",'Mapa final'!$O$26),"")</f>
        <v/>
      </c>
      <c r="K48" s="46" t="str">
        <f>IF(AND('Mapa final'!$Y$27="Muy Baja",'Mapa final'!$AA$27="Leve"),CONCATENATE("R3C",'Mapa final'!$O$27),"")</f>
        <v/>
      </c>
      <c r="L48" s="46" t="str">
        <f>IF(AND('Mapa final'!$Y$28="Muy Baja",'Mapa final'!$AA$28="Leve"),CONCATENATE("R3C",'Mapa final'!$O$28),"")</f>
        <v/>
      </c>
      <c r="M48" s="46" t="e">
        <f>IF(AND('Mapa final'!#REF!="Muy Baja",'Mapa final'!#REF!="Leve"),CONCATENATE("R3C",'Mapa final'!#REF!),"")</f>
        <v>#REF!</v>
      </c>
      <c r="N48" s="46" t="e">
        <f>IF(AND('Mapa final'!#REF!="Muy Baja",'Mapa final'!#REF!="Leve"),CONCATENATE("R3C",'Mapa final'!#REF!),"")</f>
        <v>#REF!</v>
      </c>
      <c r="O48" s="47" t="e">
        <f>IF(AND('Mapa final'!#REF!="Muy Baja",'Mapa final'!#REF!="Leve"),CONCATENATE("R3C",'Mapa final'!#REF!),"")</f>
        <v>#REF!</v>
      </c>
      <c r="P48" s="45" t="str">
        <f>IF(AND('Mapa final'!$Y$26="Muy Baja",'Mapa final'!$AA$26="Menor"),CONCATENATE("R3C",'Mapa final'!$O$26),"")</f>
        <v/>
      </c>
      <c r="Q48" s="46" t="str">
        <f>IF(AND('Mapa final'!$Y$27="Muy Baja",'Mapa final'!$AA$27="Menor"),CONCATENATE("R3C",'Mapa final'!$O$27),"")</f>
        <v/>
      </c>
      <c r="R48" s="46" t="str">
        <f>IF(AND('Mapa final'!$Y$28="Muy Baja",'Mapa final'!$AA$28="Menor"),CONCATENATE("R3C",'Mapa final'!$O$28),"")</f>
        <v/>
      </c>
      <c r="S48" s="46" t="e">
        <f>IF(AND('Mapa final'!#REF!="Muy Baja",'Mapa final'!#REF!="Menor"),CONCATENATE("R3C",'Mapa final'!#REF!),"")</f>
        <v>#REF!</v>
      </c>
      <c r="T48" s="46" t="e">
        <f>IF(AND('Mapa final'!#REF!="Muy Baja",'Mapa final'!#REF!="Menor"),CONCATENATE("R3C",'Mapa final'!#REF!),"")</f>
        <v>#REF!</v>
      </c>
      <c r="U48" s="47" t="e">
        <f>IF(AND('Mapa final'!#REF!="Muy Baja",'Mapa final'!#REF!="Menor"),CONCATENATE("R3C",'Mapa final'!#REF!),"")</f>
        <v>#REF!</v>
      </c>
      <c r="V48" s="36" t="str">
        <f>IF(AND('Mapa final'!$Y$26="Muy Baja",'Mapa final'!$AA$26="Moderado"),CONCATENATE("R3C",'Mapa final'!$O$26),"")</f>
        <v>R3C1</v>
      </c>
      <c r="W48" s="37" t="str">
        <f>IF(AND('Mapa final'!$Y$27="Muy Baja",'Mapa final'!$AA$27="Moderado"),CONCATENATE("R3C",'Mapa final'!$O$27),"")</f>
        <v/>
      </c>
      <c r="X48" s="37" t="str">
        <f>IF(AND('Mapa final'!$Y$28="Muy Baja",'Mapa final'!$AA$28="Moderado"),CONCATENATE("R3C",'Mapa final'!$O$28),"")</f>
        <v/>
      </c>
      <c r="Y48" s="37" t="e">
        <f>IF(AND('Mapa final'!#REF!="Muy Baja",'Mapa final'!#REF!="Moderado"),CONCATENATE("R3C",'Mapa final'!#REF!),"")</f>
        <v>#REF!</v>
      </c>
      <c r="Z48" s="37" t="e">
        <f>IF(AND('Mapa final'!#REF!="Muy Baja",'Mapa final'!#REF!="Moderado"),CONCATENATE("R3C",'Mapa final'!#REF!),"")</f>
        <v>#REF!</v>
      </c>
      <c r="AA48" s="38" t="e">
        <f>IF(AND('Mapa final'!#REF!="Muy Baja",'Mapa final'!#REF!="Moderado"),CONCATENATE("R3C",'Mapa final'!#REF!),"")</f>
        <v>#REF!</v>
      </c>
      <c r="AB48" s="21" t="str">
        <f>IF(AND('Mapa final'!$Y$26="Muy Baja",'Mapa final'!$AA$26="Mayor"),CONCATENATE("R3C",'Mapa final'!$O$26),"")</f>
        <v/>
      </c>
      <c r="AC48" s="22" t="str">
        <f>IF(AND('Mapa final'!$Y$27="Muy Baja",'Mapa final'!$AA$27="Mayor"),CONCATENATE("R3C",'Mapa final'!$O$27),"")</f>
        <v/>
      </c>
      <c r="AD48" s="22" t="str">
        <f>IF(AND('Mapa final'!$Y$28="Muy Baja",'Mapa final'!$AA$28="Mayor"),CONCATENATE("R3C",'Mapa final'!$O$28),"")</f>
        <v/>
      </c>
      <c r="AE48" s="22" t="e">
        <f>IF(AND('Mapa final'!#REF!="Muy Baja",'Mapa final'!#REF!="Mayor"),CONCATENATE("R3C",'Mapa final'!#REF!),"")</f>
        <v>#REF!</v>
      </c>
      <c r="AF48" s="22" t="e">
        <f>IF(AND('Mapa final'!#REF!="Muy Baja",'Mapa final'!#REF!="Mayor"),CONCATENATE("R3C",'Mapa final'!#REF!),"")</f>
        <v>#REF!</v>
      </c>
      <c r="AG48" s="23" t="e">
        <f>IF(AND('Mapa final'!#REF!="Muy Baja",'Mapa final'!#REF!="Mayor"),CONCATENATE("R3C",'Mapa final'!#REF!),"")</f>
        <v>#REF!</v>
      </c>
      <c r="AH48" s="24" t="str">
        <f>IF(AND('Mapa final'!$Y$26="Muy Baja",'Mapa final'!$AA$26="Catastrófico"),CONCATENATE("R3C",'Mapa final'!$O$26),"")</f>
        <v/>
      </c>
      <c r="AI48" s="25" t="str">
        <f>IF(AND('Mapa final'!$Y$27="Muy Baja",'Mapa final'!$AA$27="Catastrófico"),CONCATENATE("R3C",'Mapa final'!$O$27),"")</f>
        <v/>
      </c>
      <c r="AJ48" s="25" t="str">
        <f>IF(AND('Mapa final'!$Y$28="Muy Baja",'Mapa final'!$AA$28="Catastrófico"),CONCATENATE("R3C",'Mapa final'!$O$28),"")</f>
        <v/>
      </c>
      <c r="AK48" s="25" t="e">
        <f>IF(AND('Mapa final'!#REF!="Muy Baja",'Mapa final'!#REF!="Catastrófico"),CONCATENATE("R3C",'Mapa final'!#REF!),"")</f>
        <v>#REF!</v>
      </c>
      <c r="AL48" s="25" t="e">
        <f>IF(AND('Mapa final'!#REF!="Muy Baja",'Mapa final'!#REF!="Catastrófico"),CONCATENATE("R3C",'Mapa final'!#REF!),"")</f>
        <v>#REF!</v>
      </c>
      <c r="AM48" s="26" t="e">
        <f>IF(AND('Mapa final'!#REF!="Muy Baja",'Mapa final'!#REF!="Catastrófico"),CONCATENATE("R3C",'Mapa final'!#REF!),"")</f>
        <v>#REF!</v>
      </c>
      <c r="AN48" s="1"/>
      <c r="AO48" s="1"/>
      <c r="AP48" s="1"/>
      <c r="AQ48" s="1"/>
      <c r="AR48" s="1"/>
      <c r="AS48" s="1"/>
      <c r="AT48" s="1"/>
    </row>
    <row r="49" spans="2:39" ht="15" customHeight="1" x14ac:dyDescent="0.25">
      <c r="B49" s="280"/>
      <c r="C49" s="235"/>
      <c r="D49" s="236"/>
      <c r="E49" s="247"/>
      <c r="F49" s="235"/>
      <c r="G49" s="235"/>
      <c r="H49" s="235"/>
      <c r="I49" s="236"/>
      <c r="J49" s="45" t="str">
        <f>IF(AND('Mapa final'!$Y$31="Muy Baja",'Mapa final'!$AA$31="Leve"),CONCATENATE("R4C",'Mapa final'!$O$31),"")</f>
        <v/>
      </c>
      <c r="K49" s="46" t="str">
        <f>IF(AND('Mapa final'!$Y$32="Muy Baja",'Mapa final'!$AA$32="Leve"),CONCATENATE("R4C",'Mapa final'!$O$32),"")</f>
        <v/>
      </c>
      <c r="L49" s="46" t="e">
        <f>IF(AND('Mapa final'!#REF!="Muy Baja",'Mapa final'!#REF!="Leve"),CONCATENATE("R4C",'Mapa final'!#REF!),"")</f>
        <v>#REF!</v>
      </c>
      <c r="M49" s="46" t="str">
        <f>IF(AND('Mapa final'!$Y$33="Muy Baja",'Mapa final'!$AA$33="Leve"),CONCATENATE("R4C",'Mapa final'!$O$33),"")</f>
        <v/>
      </c>
      <c r="N49" s="46" t="e">
        <f>IF(AND('Mapa final'!#REF!="Muy Baja",'Mapa final'!#REF!="Leve"),CONCATENATE("R4C",'Mapa final'!#REF!),"")</f>
        <v>#REF!</v>
      </c>
      <c r="O49" s="47" t="e">
        <f>IF(AND('Mapa final'!#REF!="Muy Baja",'Mapa final'!#REF!="Leve"),CONCATENATE("R4C",'Mapa final'!#REF!),"")</f>
        <v>#REF!</v>
      </c>
      <c r="P49" s="45" t="str">
        <f>IF(AND('Mapa final'!$Y$31="Muy Baja",'Mapa final'!$AA$31="Menor"),CONCATENATE("R4C",'Mapa final'!$O$31),"")</f>
        <v/>
      </c>
      <c r="Q49" s="46" t="str">
        <f>IF(AND('Mapa final'!$Y$32="Muy Baja",'Mapa final'!$AA$32="Menor"),CONCATENATE("R4C",'Mapa final'!$O$32),"")</f>
        <v/>
      </c>
      <c r="R49" s="46" t="e">
        <f>IF(AND('Mapa final'!#REF!="Muy Baja",'Mapa final'!#REF!="Menor"),CONCATENATE("R4C",'Mapa final'!#REF!),"")</f>
        <v>#REF!</v>
      </c>
      <c r="S49" s="46" t="str">
        <f>IF(AND('Mapa final'!$Y$33="Muy Baja",'Mapa final'!$AA$33="Menor"),CONCATENATE("R4C",'Mapa final'!$O$33),"")</f>
        <v/>
      </c>
      <c r="T49" s="46" t="e">
        <f>IF(AND('Mapa final'!#REF!="Muy Baja",'Mapa final'!#REF!="Menor"),CONCATENATE("R4C",'Mapa final'!#REF!),"")</f>
        <v>#REF!</v>
      </c>
      <c r="U49" s="47" t="e">
        <f>IF(AND('Mapa final'!#REF!="Muy Baja",'Mapa final'!#REF!="Menor"),CONCATENATE("R4C",'Mapa final'!#REF!),"")</f>
        <v>#REF!</v>
      </c>
      <c r="V49" s="36" t="str">
        <f>IF(AND('Mapa final'!$Y$31="Muy Baja",'Mapa final'!$AA$31="Moderado"),CONCATENATE("R4C",'Mapa final'!$O$31),"")</f>
        <v/>
      </c>
      <c r="W49" s="37" t="str">
        <f>IF(AND('Mapa final'!$Y$32="Muy Baja",'Mapa final'!$AA$32="Moderado"),CONCATENATE("R4C",'Mapa final'!$O$32),"")</f>
        <v/>
      </c>
      <c r="X49" s="37" t="e">
        <f>IF(AND('Mapa final'!#REF!="Muy Baja",'Mapa final'!#REF!="Moderado"),CONCATENATE("R4C",'Mapa final'!#REF!),"")</f>
        <v>#REF!</v>
      </c>
      <c r="Y49" s="37" t="str">
        <f>IF(AND('Mapa final'!$Y$33="Muy Baja",'Mapa final'!$AA$33="Moderado"),CONCATENATE("R4C",'Mapa final'!$O$33),"")</f>
        <v>R4C3</v>
      </c>
      <c r="Z49" s="37" t="e">
        <f>IF(AND('Mapa final'!#REF!="Muy Baja",'Mapa final'!#REF!="Moderado"),CONCATENATE("R4C",'Mapa final'!#REF!),"")</f>
        <v>#REF!</v>
      </c>
      <c r="AA49" s="38" t="e">
        <f>IF(AND('Mapa final'!#REF!="Muy Baja",'Mapa final'!#REF!="Moderado"),CONCATENATE("R4C",'Mapa final'!#REF!),"")</f>
        <v>#REF!</v>
      </c>
      <c r="AB49" s="21" t="str">
        <f>IF(AND('Mapa final'!$Y$31="Muy Baja",'Mapa final'!$AA$31="Mayor"),CONCATENATE("R4C",'Mapa final'!$O$31),"")</f>
        <v/>
      </c>
      <c r="AC49" s="22" t="str">
        <f>IF(AND('Mapa final'!$Y$32="Muy Baja",'Mapa final'!$AA$32="Mayor"),CONCATENATE("R4C",'Mapa final'!$O$32),"")</f>
        <v/>
      </c>
      <c r="AD49" s="22" t="e">
        <f>IF(AND('Mapa final'!#REF!="Muy Baja",'Mapa final'!#REF!="Mayor"),CONCATENATE("R4C",'Mapa final'!#REF!),"")</f>
        <v>#REF!</v>
      </c>
      <c r="AE49" s="22" t="str">
        <f>IF(AND('Mapa final'!$Y$33="Muy Baja",'Mapa final'!$AA$33="Mayor"),CONCATENATE("R4C",'Mapa final'!$O$33),"")</f>
        <v/>
      </c>
      <c r="AF49" s="22" t="e">
        <f>IF(AND('Mapa final'!#REF!="Muy Baja",'Mapa final'!#REF!="Mayor"),CONCATENATE("R4C",'Mapa final'!#REF!),"")</f>
        <v>#REF!</v>
      </c>
      <c r="AG49" s="23" t="e">
        <f>IF(AND('Mapa final'!#REF!="Muy Baja",'Mapa final'!#REF!="Mayor"),CONCATENATE("R4C",'Mapa final'!#REF!),"")</f>
        <v>#REF!</v>
      </c>
      <c r="AH49" s="24" t="str">
        <f>IF(AND('Mapa final'!$Y$31="Muy Baja",'Mapa final'!$AA$31="Catastrófico"),CONCATENATE("R4C",'Mapa final'!$O$31),"")</f>
        <v/>
      </c>
      <c r="AI49" s="25" t="str">
        <f>IF(AND('Mapa final'!$Y$32="Muy Baja",'Mapa final'!$AA$32="Catastrófico"),CONCATENATE("R4C",'Mapa final'!$O$32),"")</f>
        <v/>
      </c>
      <c r="AJ49" s="25" t="e">
        <f>IF(AND('Mapa final'!#REF!="Muy Baja",'Mapa final'!#REF!="Catastrófico"),CONCATENATE("R4C",'Mapa final'!#REF!),"")</f>
        <v>#REF!</v>
      </c>
      <c r="AK49" s="25" t="str">
        <f>IF(AND('Mapa final'!$Y$33="Muy Baja",'Mapa final'!$AA$33="Catastrófico"),CONCATENATE("R4C",'Mapa final'!$O$33),"")</f>
        <v/>
      </c>
      <c r="AL49" s="25" t="e">
        <f>IF(AND('Mapa final'!#REF!="Muy Baja",'Mapa final'!#REF!="Catastrófico"),CONCATENATE("R4C",'Mapa final'!#REF!),"")</f>
        <v>#REF!</v>
      </c>
      <c r="AM49" s="26" t="e">
        <f>IF(AND('Mapa final'!#REF!="Muy Baja",'Mapa final'!#REF!="Catastrófico"),CONCATENATE("R4C",'Mapa final'!#REF!),"")</f>
        <v>#REF!</v>
      </c>
    </row>
    <row r="50" spans="2:39" ht="15" customHeight="1" x14ac:dyDescent="0.25">
      <c r="B50" s="280"/>
      <c r="C50" s="235"/>
      <c r="D50" s="236"/>
      <c r="E50" s="247"/>
      <c r="F50" s="235"/>
      <c r="G50" s="235"/>
      <c r="H50" s="235"/>
      <c r="I50" s="236"/>
      <c r="J50" s="45" t="str">
        <f>IF(AND('Mapa final'!$Y$36="Muy Baja",'Mapa final'!$AA$36="Leve"),CONCATENATE("R5C",'Mapa final'!$O$36),"")</f>
        <v/>
      </c>
      <c r="K50" s="46" t="str">
        <f>IF(AND('Mapa final'!$Y$37="Muy Baja",'Mapa final'!$AA$37="Leve"),CONCATENATE("R5C",'Mapa final'!$O$37),"")</f>
        <v/>
      </c>
      <c r="L50" s="46" t="str">
        <f>IF(AND('Mapa final'!$Y$38="Muy Baja",'Mapa final'!$AA$38="Leve"),CONCATENATE("R5C",'Mapa final'!$O$38),"")</f>
        <v/>
      </c>
      <c r="M50" s="46" t="e">
        <f>IF(AND('Mapa final'!#REF!="Muy Baja",'Mapa final'!#REF!="Leve"),CONCATENATE("R5C",'Mapa final'!#REF!),"")</f>
        <v>#REF!</v>
      </c>
      <c r="N50" s="46" t="e">
        <f>IF(AND('Mapa final'!#REF!="Muy Baja",'Mapa final'!#REF!="Leve"),CONCATENATE("R5C",'Mapa final'!#REF!),"")</f>
        <v>#REF!</v>
      </c>
      <c r="O50" s="47" t="e">
        <f>IF(AND('Mapa final'!#REF!="Muy Baja",'Mapa final'!#REF!="Leve"),CONCATENATE("R5C",'Mapa final'!#REF!),"")</f>
        <v>#REF!</v>
      </c>
      <c r="P50" s="45" t="str">
        <f>IF(AND('Mapa final'!$Y$36="Muy Baja",'Mapa final'!$AA$36="Menor"),CONCATENATE("R5C",'Mapa final'!$O$36),"")</f>
        <v/>
      </c>
      <c r="Q50" s="46" t="str">
        <f>IF(AND('Mapa final'!$Y$37="Muy Baja",'Mapa final'!$AA$37="Menor"),CONCATENATE("R5C",'Mapa final'!$O$37),"")</f>
        <v/>
      </c>
      <c r="R50" s="46" t="str">
        <f>IF(AND('Mapa final'!$Y$38="Muy Baja",'Mapa final'!$AA$38="Menor"),CONCATENATE("R5C",'Mapa final'!$O$38),"")</f>
        <v/>
      </c>
      <c r="S50" s="46" t="e">
        <f>IF(AND('Mapa final'!#REF!="Muy Baja",'Mapa final'!#REF!="Menor"),CONCATENATE("R5C",'Mapa final'!#REF!),"")</f>
        <v>#REF!</v>
      </c>
      <c r="T50" s="46" t="e">
        <f>IF(AND('Mapa final'!#REF!="Muy Baja",'Mapa final'!#REF!="Menor"),CONCATENATE("R5C",'Mapa final'!#REF!),"")</f>
        <v>#REF!</v>
      </c>
      <c r="U50" s="47" t="e">
        <f>IF(AND('Mapa final'!#REF!="Muy Baja",'Mapa final'!#REF!="Menor"),CONCATENATE("R5C",'Mapa final'!#REF!),"")</f>
        <v>#REF!</v>
      </c>
      <c r="V50" s="36" t="str">
        <f>IF(AND('Mapa final'!$Y$36="Muy Baja",'Mapa final'!$AA$36="Moderado"),CONCATENATE("R5C",'Mapa final'!$O$36),"")</f>
        <v/>
      </c>
      <c r="W50" s="37" t="str">
        <f>IF(AND('Mapa final'!$Y$37="Muy Baja",'Mapa final'!$AA$37="Moderado"),CONCATENATE("R5C",'Mapa final'!$O$37),"")</f>
        <v/>
      </c>
      <c r="X50" s="37" t="str">
        <f>IF(AND('Mapa final'!$Y$38="Muy Baja",'Mapa final'!$AA$38="Moderado"),CONCATENATE("R5C",'Mapa final'!$O$38),"")</f>
        <v/>
      </c>
      <c r="Y50" s="37" t="e">
        <f>IF(AND('Mapa final'!#REF!="Muy Baja",'Mapa final'!#REF!="Moderado"),CONCATENATE("R5C",'Mapa final'!#REF!),"")</f>
        <v>#REF!</v>
      </c>
      <c r="Z50" s="37" t="e">
        <f>IF(AND('Mapa final'!#REF!="Muy Baja",'Mapa final'!#REF!="Moderado"),CONCATENATE("R5C",'Mapa final'!#REF!),"")</f>
        <v>#REF!</v>
      </c>
      <c r="AA50" s="38" t="e">
        <f>IF(AND('Mapa final'!#REF!="Muy Baja",'Mapa final'!#REF!="Moderado"),CONCATENATE("R5C",'Mapa final'!#REF!),"")</f>
        <v>#REF!</v>
      </c>
      <c r="AB50" s="21" t="str">
        <f>IF(AND('Mapa final'!$Y$36="Muy Baja",'Mapa final'!$AA$36="Mayor"),CONCATENATE("R5C",'Mapa final'!$O$36),"")</f>
        <v/>
      </c>
      <c r="AC50" s="22" t="str">
        <f>IF(AND('Mapa final'!$Y$37="Muy Baja",'Mapa final'!$AA$37="Mayor"),CONCATENATE("R5C",'Mapa final'!$O$37),"")</f>
        <v/>
      </c>
      <c r="AD50" s="22" t="str">
        <f>IF(AND('Mapa final'!$Y$38="Muy Baja",'Mapa final'!$AA$38="Mayor"),CONCATENATE("R5C",'Mapa final'!$O$38),"")</f>
        <v/>
      </c>
      <c r="AE50" s="22" t="e">
        <f>IF(AND('Mapa final'!#REF!="Muy Baja",'Mapa final'!#REF!="Mayor"),CONCATENATE("R5C",'Mapa final'!#REF!),"")</f>
        <v>#REF!</v>
      </c>
      <c r="AF50" s="22" t="e">
        <f>IF(AND('Mapa final'!#REF!="Muy Baja",'Mapa final'!#REF!="Mayor"),CONCATENATE("R5C",'Mapa final'!#REF!),"")</f>
        <v>#REF!</v>
      </c>
      <c r="AG50" s="23" t="e">
        <f>IF(AND('Mapa final'!#REF!="Muy Baja",'Mapa final'!#REF!="Mayor"),CONCATENATE("R5C",'Mapa final'!#REF!),"")</f>
        <v>#REF!</v>
      </c>
      <c r="AH50" s="24" t="str">
        <f>IF(AND('Mapa final'!$Y$36="Muy Baja",'Mapa final'!$AA$36="Catastrófico"),CONCATENATE("R5C",'Mapa final'!$O$36),"")</f>
        <v/>
      </c>
      <c r="AI50" s="25" t="str">
        <f>IF(AND('Mapa final'!$Y$37="Muy Baja",'Mapa final'!$AA$37="Catastrófico"),CONCATENATE("R5C",'Mapa final'!$O$37),"")</f>
        <v/>
      </c>
      <c r="AJ50" s="25" t="str">
        <f>IF(AND('Mapa final'!$Y$38="Muy Baja",'Mapa final'!$AA$38="Catastrófico"),CONCATENATE("R5C",'Mapa final'!$O$38),"")</f>
        <v/>
      </c>
      <c r="AK50" s="25" t="e">
        <f>IF(AND('Mapa final'!#REF!="Muy Baja",'Mapa final'!#REF!="Catastrófico"),CONCATENATE("R5C",'Mapa final'!#REF!),"")</f>
        <v>#REF!</v>
      </c>
      <c r="AL50" s="25" t="e">
        <f>IF(AND('Mapa final'!#REF!="Muy Baja",'Mapa final'!#REF!="Catastrófico"),CONCATENATE("R5C",'Mapa final'!#REF!),"")</f>
        <v>#REF!</v>
      </c>
      <c r="AM50" s="26" t="e">
        <f>IF(AND('Mapa final'!#REF!="Muy Baja",'Mapa final'!#REF!="Catastrófico"),CONCATENATE("R5C",'Mapa final'!#REF!),"")</f>
        <v>#REF!</v>
      </c>
    </row>
    <row r="51" spans="2:39" ht="15" customHeight="1" x14ac:dyDescent="0.25">
      <c r="B51" s="280"/>
      <c r="C51" s="235"/>
      <c r="D51" s="236"/>
      <c r="E51" s="247"/>
      <c r="F51" s="235"/>
      <c r="G51" s="235"/>
      <c r="H51" s="235"/>
      <c r="I51" s="236"/>
      <c r="J51" s="45" t="str">
        <f>IF(AND('Mapa final'!$Y$44="Muy Baja",'Mapa final'!$AA$44="Leve"),CONCATENATE("R6C",'Mapa final'!$O$44),"")</f>
        <v/>
      </c>
      <c r="K51" s="46" t="str">
        <f>IF(AND('Mapa final'!$Y$45="Muy Baja",'Mapa final'!$AA$45="Leve"),CONCATENATE("R6C",'Mapa final'!$O$45),"")</f>
        <v/>
      </c>
      <c r="L51" s="46" t="str">
        <f>IF(AND('Mapa final'!$Y$46="Muy Baja",'Mapa final'!$AA$46="Leve"),CONCATENATE("R6C",'Mapa final'!$O$46),"")</f>
        <v/>
      </c>
      <c r="M51" s="46" t="e">
        <f>IF(AND('Mapa final'!#REF!="Muy Baja",'Mapa final'!#REF!="Leve"),CONCATENATE("R6C",'Mapa final'!#REF!),"")</f>
        <v>#REF!</v>
      </c>
      <c r="N51" s="46" t="e">
        <f>IF(AND('Mapa final'!#REF!="Muy Baja",'Mapa final'!#REF!="Leve"),CONCATENATE("R6C",'Mapa final'!#REF!),"")</f>
        <v>#REF!</v>
      </c>
      <c r="O51" s="47" t="e">
        <f>IF(AND('Mapa final'!#REF!="Muy Baja",'Mapa final'!#REF!="Leve"),CONCATENATE("R6C",'Mapa final'!#REF!),"")</f>
        <v>#REF!</v>
      </c>
      <c r="P51" s="45" t="str">
        <f>IF(AND('Mapa final'!$Y$44="Muy Baja",'Mapa final'!$AA$44="Menor"),CONCATENATE("R6C",'Mapa final'!$O$44),"")</f>
        <v/>
      </c>
      <c r="Q51" s="46" t="str">
        <f>IF(AND('Mapa final'!$Y$45="Muy Baja",'Mapa final'!$AA$45="Menor"),CONCATENATE("R6C",'Mapa final'!$O$45),"")</f>
        <v/>
      </c>
      <c r="R51" s="46" t="str">
        <f>IF(AND('Mapa final'!$Y$46="Muy Baja",'Mapa final'!$AA$46="Menor"),CONCATENATE("R6C",'Mapa final'!$O$46),"")</f>
        <v/>
      </c>
      <c r="S51" s="46" t="e">
        <f>IF(AND('Mapa final'!#REF!="Muy Baja",'Mapa final'!#REF!="Menor"),CONCATENATE("R6C",'Mapa final'!#REF!),"")</f>
        <v>#REF!</v>
      </c>
      <c r="T51" s="46" t="e">
        <f>IF(AND('Mapa final'!#REF!="Muy Baja",'Mapa final'!#REF!="Menor"),CONCATENATE("R6C",'Mapa final'!#REF!),"")</f>
        <v>#REF!</v>
      </c>
      <c r="U51" s="47" t="e">
        <f>IF(AND('Mapa final'!#REF!="Muy Baja",'Mapa final'!#REF!="Menor"),CONCATENATE("R6C",'Mapa final'!#REF!),"")</f>
        <v>#REF!</v>
      </c>
      <c r="V51" s="36" t="str">
        <f>IF(AND('Mapa final'!$Y$44="Muy Baja",'Mapa final'!$AA$44="Moderado"),CONCATENATE("R6C",'Mapa final'!$O$44),"")</f>
        <v/>
      </c>
      <c r="W51" s="37" t="str">
        <f>IF(AND('Mapa final'!$Y$45="Muy Baja",'Mapa final'!$AA$45="Moderado"),CONCATENATE("R6C",'Mapa final'!$O$45),"")</f>
        <v/>
      </c>
      <c r="X51" s="37" t="str">
        <f>IF(AND('Mapa final'!$Y$46="Muy Baja",'Mapa final'!$AA$46="Moderado"),CONCATENATE("R6C",'Mapa final'!$O$46),"")</f>
        <v/>
      </c>
      <c r="Y51" s="37" t="e">
        <f>IF(AND('Mapa final'!#REF!="Muy Baja",'Mapa final'!#REF!="Moderado"),CONCATENATE("R6C",'Mapa final'!#REF!),"")</f>
        <v>#REF!</v>
      </c>
      <c r="Z51" s="37" t="e">
        <f>IF(AND('Mapa final'!#REF!="Muy Baja",'Mapa final'!#REF!="Moderado"),CONCATENATE("R6C",'Mapa final'!#REF!),"")</f>
        <v>#REF!</v>
      </c>
      <c r="AA51" s="38" t="e">
        <f>IF(AND('Mapa final'!#REF!="Muy Baja",'Mapa final'!#REF!="Moderado"),CONCATENATE("R6C",'Mapa final'!#REF!),"")</f>
        <v>#REF!</v>
      </c>
      <c r="AB51" s="21" t="str">
        <f>IF(AND('Mapa final'!$Y$44="Muy Baja",'Mapa final'!$AA$44="Mayor"),CONCATENATE("R6C",'Mapa final'!$O$44),"")</f>
        <v/>
      </c>
      <c r="AC51" s="22" t="str">
        <f>IF(AND('Mapa final'!$Y$45="Muy Baja",'Mapa final'!$AA$45="Mayor"),CONCATENATE("R6C",'Mapa final'!$O$45),"")</f>
        <v/>
      </c>
      <c r="AD51" s="22" t="str">
        <f>IF(AND('Mapa final'!$Y$46="Muy Baja",'Mapa final'!$AA$46="Mayor"),CONCATENATE("R6C",'Mapa final'!$O$46),"")</f>
        <v/>
      </c>
      <c r="AE51" s="22" t="e">
        <f>IF(AND('Mapa final'!#REF!="Muy Baja",'Mapa final'!#REF!="Mayor"),CONCATENATE("R6C",'Mapa final'!#REF!),"")</f>
        <v>#REF!</v>
      </c>
      <c r="AF51" s="22" t="e">
        <f>IF(AND('Mapa final'!#REF!="Muy Baja",'Mapa final'!#REF!="Mayor"),CONCATENATE("R6C",'Mapa final'!#REF!),"")</f>
        <v>#REF!</v>
      </c>
      <c r="AG51" s="23" t="e">
        <f>IF(AND('Mapa final'!#REF!="Muy Baja",'Mapa final'!#REF!="Mayor"),CONCATENATE("R6C",'Mapa final'!#REF!),"")</f>
        <v>#REF!</v>
      </c>
      <c r="AH51" s="24" t="str">
        <f>IF(AND('Mapa final'!$Y$44="Muy Baja",'Mapa final'!$AA$44="Catastrófico"),CONCATENATE("R6C",'Mapa final'!$O$44),"")</f>
        <v/>
      </c>
      <c r="AI51" s="25" t="str">
        <f>IF(AND('Mapa final'!$Y$45="Muy Baja",'Mapa final'!$AA$45="Catastrófico"),CONCATENATE("R6C",'Mapa final'!$O$45),"")</f>
        <v/>
      </c>
      <c r="AJ51" s="25" t="str">
        <f>IF(AND('Mapa final'!$Y$46="Muy Baja",'Mapa final'!$AA$46="Catastrófico"),CONCATENATE("R6C",'Mapa final'!$O$46),"")</f>
        <v/>
      </c>
      <c r="AK51" s="25" t="e">
        <f>IF(AND('Mapa final'!#REF!="Muy Baja",'Mapa final'!#REF!="Catastrófico"),CONCATENATE("R6C",'Mapa final'!#REF!),"")</f>
        <v>#REF!</v>
      </c>
      <c r="AL51" s="25" t="e">
        <f>IF(AND('Mapa final'!#REF!="Muy Baja",'Mapa final'!#REF!="Catastrófico"),CONCATENATE("R6C",'Mapa final'!#REF!),"")</f>
        <v>#REF!</v>
      </c>
      <c r="AM51" s="26" t="e">
        <f>IF(AND('Mapa final'!#REF!="Muy Baja",'Mapa final'!#REF!="Catastrófico"),CONCATENATE("R6C",'Mapa final'!#REF!),"")</f>
        <v>#REF!</v>
      </c>
    </row>
    <row r="52" spans="2:39" ht="15" customHeight="1" x14ac:dyDescent="0.25">
      <c r="B52" s="280"/>
      <c r="C52" s="235"/>
      <c r="D52" s="236"/>
      <c r="E52" s="247"/>
      <c r="F52" s="235"/>
      <c r="G52" s="235"/>
      <c r="H52" s="235"/>
      <c r="I52" s="236"/>
      <c r="J52" s="45" t="e">
        <f>IF(AND('Mapa final'!#REF!="Muy Baja",'Mapa final'!#REF!="Leve"),CONCATENATE("R7C",'Mapa final'!#REF!),"")</f>
        <v>#REF!</v>
      </c>
      <c r="K52" s="46" t="e">
        <f>IF(AND('Mapa final'!#REF!="Muy Baja",'Mapa final'!#REF!="Leve"),CONCATENATE("R7C",'Mapa final'!#REF!),"")</f>
        <v>#REF!</v>
      </c>
      <c r="L52" s="46" t="e">
        <f>IF(AND('Mapa final'!#REF!="Muy Baja",'Mapa final'!#REF!="Leve"),CONCATENATE("R7C",'Mapa final'!#REF!),"")</f>
        <v>#REF!</v>
      </c>
      <c r="M52" s="46" t="e">
        <f>IF(AND('Mapa final'!#REF!="Muy Baja",'Mapa final'!#REF!="Leve"),CONCATENATE("R7C",'Mapa final'!#REF!),"")</f>
        <v>#REF!</v>
      </c>
      <c r="N52" s="46" t="e">
        <f>IF(AND('Mapa final'!#REF!="Muy Baja",'Mapa final'!#REF!="Leve"),CONCATENATE("R7C",'Mapa final'!#REF!),"")</f>
        <v>#REF!</v>
      </c>
      <c r="O52" s="47" t="e">
        <f>IF(AND('Mapa final'!#REF!="Muy Baja",'Mapa final'!#REF!="Leve"),CONCATENATE("R7C",'Mapa final'!#REF!),"")</f>
        <v>#REF!</v>
      </c>
      <c r="P52" s="45" t="e">
        <f>IF(AND('Mapa final'!#REF!="Muy Baja",'Mapa final'!#REF!="Menor"),CONCATENATE("R7C",'Mapa final'!#REF!),"")</f>
        <v>#REF!</v>
      </c>
      <c r="Q52" s="46" t="e">
        <f>IF(AND('Mapa final'!#REF!="Muy Baja",'Mapa final'!#REF!="Menor"),CONCATENATE("R7C",'Mapa final'!#REF!),"")</f>
        <v>#REF!</v>
      </c>
      <c r="R52" s="46" t="e">
        <f>IF(AND('Mapa final'!#REF!="Muy Baja",'Mapa final'!#REF!="Menor"),CONCATENATE("R7C",'Mapa final'!#REF!),"")</f>
        <v>#REF!</v>
      </c>
      <c r="S52" s="46" t="e">
        <f>IF(AND('Mapa final'!#REF!="Muy Baja",'Mapa final'!#REF!="Menor"),CONCATENATE("R7C",'Mapa final'!#REF!),"")</f>
        <v>#REF!</v>
      </c>
      <c r="T52" s="46" t="e">
        <f>IF(AND('Mapa final'!#REF!="Muy Baja",'Mapa final'!#REF!="Menor"),CONCATENATE("R7C",'Mapa final'!#REF!),"")</f>
        <v>#REF!</v>
      </c>
      <c r="U52" s="47" t="e">
        <f>IF(AND('Mapa final'!#REF!="Muy Baja",'Mapa final'!#REF!="Menor"),CONCATENATE("R7C",'Mapa final'!#REF!),"")</f>
        <v>#REF!</v>
      </c>
      <c r="V52" s="36" t="e">
        <f>IF(AND('Mapa final'!#REF!="Muy Baja",'Mapa final'!#REF!="Moderado"),CONCATENATE("R7C",'Mapa final'!#REF!),"")</f>
        <v>#REF!</v>
      </c>
      <c r="W52" s="37" t="e">
        <f>IF(AND('Mapa final'!#REF!="Muy Baja",'Mapa final'!#REF!="Moderado"),CONCATENATE("R7C",'Mapa final'!#REF!),"")</f>
        <v>#REF!</v>
      </c>
      <c r="X52" s="37" t="e">
        <f>IF(AND('Mapa final'!#REF!="Muy Baja",'Mapa final'!#REF!="Moderado"),CONCATENATE("R7C",'Mapa final'!#REF!),"")</f>
        <v>#REF!</v>
      </c>
      <c r="Y52" s="37" t="e">
        <f>IF(AND('Mapa final'!#REF!="Muy Baja",'Mapa final'!#REF!="Moderado"),CONCATENATE("R7C",'Mapa final'!#REF!),"")</f>
        <v>#REF!</v>
      </c>
      <c r="Z52" s="37" t="e">
        <f>IF(AND('Mapa final'!#REF!="Muy Baja",'Mapa final'!#REF!="Moderado"),CONCATENATE("R7C",'Mapa final'!#REF!),"")</f>
        <v>#REF!</v>
      </c>
      <c r="AA52" s="38" t="e">
        <f>IF(AND('Mapa final'!#REF!="Muy Baja",'Mapa final'!#REF!="Moderado"),CONCATENATE("R7C",'Mapa final'!#REF!),"")</f>
        <v>#REF!</v>
      </c>
      <c r="AB52" s="21" t="e">
        <f>IF(AND('Mapa final'!#REF!="Muy Baja",'Mapa final'!#REF!="Mayor"),CONCATENATE("R7C",'Mapa final'!#REF!),"")</f>
        <v>#REF!</v>
      </c>
      <c r="AC52" s="22" t="e">
        <f>IF(AND('Mapa final'!#REF!="Muy Baja",'Mapa final'!#REF!="Mayor"),CONCATENATE("R7C",'Mapa final'!#REF!),"")</f>
        <v>#REF!</v>
      </c>
      <c r="AD52" s="22" t="e">
        <f>IF(AND('Mapa final'!#REF!="Muy Baja",'Mapa final'!#REF!="Mayor"),CONCATENATE("R7C",'Mapa final'!#REF!),"")</f>
        <v>#REF!</v>
      </c>
      <c r="AE52" s="22" t="e">
        <f>IF(AND('Mapa final'!#REF!="Muy Baja",'Mapa final'!#REF!="Mayor"),CONCATENATE("R7C",'Mapa final'!#REF!),"")</f>
        <v>#REF!</v>
      </c>
      <c r="AF52" s="22" t="e">
        <f>IF(AND('Mapa final'!#REF!="Muy Baja",'Mapa final'!#REF!="Mayor"),CONCATENATE("R7C",'Mapa final'!#REF!),"")</f>
        <v>#REF!</v>
      </c>
      <c r="AG52" s="23" t="e">
        <f>IF(AND('Mapa final'!#REF!="Muy Baja",'Mapa final'!#REF!="Mayor"),CONCATENATE("R7C",'Mapa final'!#REF!),"")</f>
        <v>#REF!</v>
      </c>
      <c r="AH52" s="24" t="e">
        <f>IF(AND('Mapa final'!#REF!="Muy Baja",'Mapa final'!#REF!="Catastrófico"),CONCATENATE("R7C",'Mapa final'!#REF!),"")</f>
        <v>#REF!</v>
      </c>
      <c r="AI52" s="25" t="e">
        <f>IF(AND('Mapa final'!#REF!="Muy Baja",'Mapa final'!#REF!="Catastrófico"),CONCATENATE("R7C",'Mapa final'!#REF!),"")</f>
        <v>#REF!</v>
      </c>
      <c r="AJ52" s="25" t="e">
        <f>IF(AND('Mapa final'!#REF!="Muy Baja",'Mapa final'!#REF!="Catastrófico"),CONCATENATE("R7C",'Mapa final'!#REF!),"")</f>
        <v>#REF!</v>
      </c>
      <c r="AK52" s="25" t="e">
        <f>IF(AND('Mapa final'!#REF!="Muy Baja",'Mapa final'!#REF!="Catastrófico"),CONCATENATE("R7C",'Mapa final'!#REF!),"")</f>
        <v>#REF!</v>
      </c>
      <c r="AL52" s="25" t="e">
        <f>IF(AND('Mapa final'!#REF!="Muy Baja",'Mapa final'!#REF!="Catastrófico"),CONCATENATE("R7C",'Mapa final'!#REF!),"")</f>
        <v>#REF!</v>
      </c>
      <c r="AM52" s="26" t="e">
        <f>IF(AND('Mapa final'!#REF!="Muy Baja",'Mapa final'!#REF!="Catastrófico"),CONCATENATE("R7C",'Mapa final'!#REF!),"")</f>
        <v>#REF!</v>
      </c>
    </row>
    <row r="53" spans="2:39" ht="15" customHeight="1" x14ac:dyDescent="0.25">
      <c r="B53" s="280"/>
      <c r="C53" s="235"/>
      <c r="D53" s="236"/>
      <c r="E53" s="247"/>
      <c r="F53" s="235"/>
      <c r="G53" s="235"/>
      <c r="H53" s="235"/>
      <c r="I53" s="236"/>
      <c r="J53" s="45" t="e">
        <f>IF(AND('Mapa final'!#REF!="Muy Baja",'Mapa final'!#REF!="Leve"),CONCATENATE("R8C",'Mapa final'!#REF!),"")</f>
        <v>#REF!</v>
      </c>
      <c r="K53" s="46" t="e">
        <f>IF(AND('Mapa final'!#REF!="Muy Baja",'Mapa final'!#REF!="Leve"),CONCATENATE("R8C",'Mapa final'!#REF!),"")</f>
        <v>#REF!</v>
      </c>
      <c r="L53" s="46" t="e">
        <f>IF(AND('Mapa final'!#REF!="Muy Baja",'Mapa final'!#REF!="Leve"),CONCATENATE("R8C",'Mapa final'!#REF!),"")</f>
        <v>#REF!</v>
      </c>
      <c r="M53" s="46" t="e">
        <f>IF(AND('Mapa final'!#REF!="Muy Baja",'Mapa final'!#REF!="Leve"),CONCATENATE("R8C",'Mapa final'!#REF!),"")</f>
        <v>#REF!</v>
      </c>
      <c r="N53" s="46" t="e">
        <f>IF(AND('Mapa final'!#REF!="Muy Baja",'Mapa final'!#REF!="Leve"),CONCATENATE("R8C",'Mapa final'!#REF!),"")</f>
        <v>#REF!</v>
      </c>
      <c r="O53" s="47" t="e">
        <f>IF(AND('Mapa final'!#REF!="Muy Baja",'Mapa final'!#REF!="Leve"),CONCATENATE("R8C",'Mapa final'!#REF!),"")</f>
        <v>#REF!</v>
      </c>
      <c r="P53" s="45" t="e">
        <f>IF(AND('Mapa final'!#REF!="Muy Baja",'Mapa final'!#REF!="Menor"),CONCATENATE("R8C",'Mapa final'!#REF!),"")</f>
        <v>#REF!</v>
      </c>
      <c r="Q53" s="46" t="e">
        <f>IF(AND('Mapa final'!#REF!="Muy Baja",'Mapa final'!#REF!="Menor"),CONCATENATE("R8C",'Mapa final'!#REF!),"")</f>
        <v>#REF!</v>
      </c>
      <c r="R53" s="46" t="e">
        <f>IF(AND('Mapa final'!#REF!="Muy Baja",'Mapa final'!#REF!="Menor"),CONCATENATE("R8C",'Mapa final'!#REF!),"")</f>
        <v>#REF!</v>
      </c>
      <c r="S53" s="46" t="e">
        <f>IF(AND('Mapa final'!#REF!="Muy Baja",'Mapa final'!#REF!="Menor"),CONCATENATE("R8C",'Mapa final'!#REF!),"")</f>
        <v>#REF!</v>
      </c>
      <c r="T53" s="46" t="e">
        <f>IF(AND('Mapa final'!#REF!="Muy Baja",'Mapa final'!#REF!="Menor"),CONCATENATE("R8C",'Mapa final'!#REF!),"")</f>
        <v>#REF!</v>
      </c>
      <c r="U53" s="47" t="e">
        <f>IF(AND('Mapa final'!#REF!="Muy Baja",'Mapa final'!#REF!="Menor"),CONCATENATE("R8C",'Mapa final'!#REF!),"")</f>
        <v>#REF!</v>
      </c>
      <c r="V53" s="36" t="e">
        <f>IF(AND('Mapa final'!#REF!="Muy Baja",'Mapa final'!#REF!="Moderado"),CONCATENATE("R8C",'Mapa final'!#REF!),"")</f>
        <v>#REF!</v>
      </c>
      <c r="W53" s="37" t="e">
        <f>IF(AND('Mapa final'!#REF!="Muy Baja",'Mapa final'!#REF!="Moderado"),CONCATENATE("R8C",'Mapa final'!#REF!),"")</f>
        <v>#REF!</v>
      </c>
      <c r="X53" s="37" t="e">
        <f>IF(AND('Mapa final'!#REF!="Muy Baja",'Mapa final'!#REF!="Moderado"),CONCATENATE("R8C",'Mapa final'!#REF!),"")</f>
        <v>#REF!</v>
      </c>
      <c r="Y53" s="37" t="e">
        <f>IF(AND('Mapa final'!#REF!="Muy Baja",'Mapa final'!#REF!="Moderado"),CONCATENATE("R8C",'Mapa final'!#REF!),"")</f>
        <v>#REF!</v>
      </c>
      <c r="Z53" s="37" t="e">
        <f>IF(AND('Mapa final'!#REF!="Muy Baja",'Mapa final'!#REF!="Moderado"),CONCATENATE("R8C",'Mapa final'!#REF!),"")</f>
        <v>#REF!</v>
      </c>
      <c r="AA53" s="38" t="e">
        <f>IF(AND('Mapa final'!#REF!="Muy Baja",'Mapa final'!#REF!="Moderado"),CONCATENATE("R8C",'Mapa final'!#REF!),"")</f>
        <v>#REF!</v>
      </c>
      <c r="AB53" s="21" t="e">
        <f>IF(AND('Mapa final'!#REF!="Muy Baja",'Mapa final'!#REF!="Mayor"),CONCATENATE("R8C",'Mapa final'!#REF!),"")</f>
        <v>#REF!</v>
      </c>
      <c r="AC53" s="22" t="e">
        <f>IF(AND('Mapa final'!#REF!="Muy Baja",'Mapa final'!#REF!="Mayor"),CONCATENATE("R8C",'Mapa final'!#REF!),"")</f>
        <v>#REF!</v>
      </c>
      <c r="AD53" s="22" t="e">
        <f>IF(AND('Mapa final'!#REF!="Muy Baja",'Mapa final'!#REF!="Mayor"),CONCATENATE("R8C",'Mapa final'!#REF!),"")</f>
        <v>#REF!</v>
      </c>
      <c r="AE53" s="22" t="e">
        <f>IF(AND('Mapa final'!#REF!="Muy Baja",'Mapa final'!#REF!="Mayor"),CONCATENATE("R8C",'Mapa final'!#REF!),"")</f>
        <v>#REF!</v>
      </c>
      <c r="AF53" s="22" t="e">
        <f>IF(AND('Mapa final'!#REF!="Muy Baja",'Mapa final'!#REF!="Mayor"),CONCATENATE("R8C",'Mapa final'!#REF!),"")</f>
        <v>#REF!</v>
      </c>
      <c r="AG53" s="23" t="e">
        <f>IF(AND('Mapa final'!#REF!="Muy Baja",'Mapa final'!#REF!="Mayor"),CONCATENATE("R8C",'Mapa final'!#REF!),"")</f>
        <v>#REF!</v>
      </c>
      <c r="AH53" s="24" t="e">
        <f>IF(AND('Mapa final'!#REF!="Muy Baja",'Mapa final'!#REF!="Catastrófico"),CONCATENATE("R8C",'Mapa final'!#REF!),"")</f>
        <v>#REF!</v>
      </c>
      <c r="AI53" s="25" t="e">
        <f>IF(AND('Mapa final'!#REF!="Muy Baja",'Mapa final'!#REF!="Catastrófico"),CONCATENATE("R8C",'Mapa final'!#REF!),"")</f>
        <v>#REF!</v>
      </c>
      <c r="AJ53" s="25" t="e">
        <f>IF(AND('Mapa final'!#REF!="Muy Baja",'Mapa final'!#REF!="Catastrófico"),CONCATENATE("R8C",'Mapa final'!#REF!),"")</f>
        <v>#REF!</v>
      </c>
      <c r="AK53" s="25" t="e">
        <f>IF(AND('Mapa final'!#REF!="Muy Baja",'Mapa final'!#REF!="Catastrófico"),CONCATENATE("R8C",'Mapa final'!#REF!),"")</f>
        <v>#REF!</v>
      </c>
      <c r="AL53" s="25" t="e">
        <f>IF(AND('Mapa final'!#REF!="Muy Baja",'Mapa final'!#REF!="Catastrófico"),CONCATENATE("R8C",'Mapa final'!#REF!),"")</f>
        <v>#REF!</v>
      </c>
      <c r="AM53" s="26" t="e">
        <f>IF(AND('Mapa final'!#REF!="Muy Baja",'Mapa final'!#REF!="Catastrófico"),CONCATENATE("R8C",'Mapa final'!#REF!),"")</f>
        <v>#REF!</v>
      </c>
    </row>
    <row r="54" spans="2:39" ht="15" customHeight="1" x14ac:dyDescent="0.25">
      <c r="B54" s="280"/>
      <c r="C54" s="235"/>
      <c r="D54" s="236"/>
      <c r="E54" s="247"/>
      <c r="F54" s="235"/>
      <c r="G54" s="235"/>
      <c r="H54" s="235"/>
      <c r="I54" s="236"/>
      <c r="J54" s="45" t="e">
        <f>IF(AND('Mapa final'!#REF!="Muy Baja",'Mapa final'!#REF!="Leve"),CONCATENATE("R9C",'Mapa final'!#REF!),"")</f>
        <v>#REF!</v>
      </c>
      <c r="K54" s="46" t="e">
        <f>IF(AND('Mapa final'!#REF!="Muy Baja",'Mapa final'!#REF!="Leve"),CONCATENATE("R9C",'Mapa final'!#REF!),"")</f>
        <v>#REF!</v>
      </c>
      <c r="L54" s="46" t="e">
        <f>IF(AND('Mapa final'!#REF!="Muy Baja",'Mapa final'!#REF!="Leve"),CONCATENATE("R9C",'Mapa final'!#REF!),"")</f>
        <v>#REF!</v>
      </c>
      <c r="M54" s="46" t="e">
        <f>IF(AND('Mapa final'!#REF!="Muy Baja",'Mapa final'!#REF!="Leve"),CONCATENATE("R9C",'Mapa final'!#REF!),"")</f>
        <v>#REF!</v>
      </c>
      <c r="N54" s="46" t="e">
        <f>IF(AND('Mapa final'!#REF!="Muy Baja",'Mapa final'!#REF!="Leve"),CONCATENATE("R9C",'Mapa final'!#REF!),"")</f>
        <v>#REF!</v>
      </c>
      <c r="O54" s="47" t="e">
        <f>IF(AND('Mapa final'!#REF!="Muy Baja",'Mapa final'!#REF!="Leve"),CONCATENATE("R9C",'Mapa final'!#REF!),"")</f>
        <v>#REF!</v>
      </c>
      <c r="P54" s="45" t="e">
        <f>IF(AND('Mapa final'!#REF!="Muy Baja",'Mapa final'!#REF!="Menor"),CONCATENATE("R9C",'Mapa final'!#REF!),"")</f>
        <v>#REF!</v>
      </c>
      <c r="Q54" s="46" t="e">
        <f>IF(AND('Mapa final'!#REF!="Muy Baja",'Mapa final'!#REF!="Menor"),CONCATENATE("R9C",'Mapa final'!#REF!),"")</f>
        <v>#REF!</v>
      </c>
      <c r="R54" s="46" t="e">
        <f>IF(AND('Mapa final'!#REF!="Muy Baja",'Mapa final'!#REF!="Menor"),CONCATENATE("R9C",'Mapa final'!#REF!),"")</f>
        <v>#REF!</v>
      </c>
      <c r="S54" s="46" t="e">
        <f>IF(AND('Mapa final'!#REF!="Muy Baja",'Mapa final'!#REF!="Menor"),CONCATENATE("R9C",'Mapa final'!#REF!),"")</f>
        <v>#REF!</v>
      </c>
      <c r="T54" s="46" t="e">
        <f>IF(AND('Mapa final'!#REF!="Muy Baja",'Mapa final'!#REF!="Menor"),CONCATENATE("R9C",'Mapa final'!#REF!),"")</f>
        <v>#REF!</v>
      </c>
      <c r="U54" s="47" t="e">
        <f>IF(AND('Mapa final'!#REF!="Muy Baja",'Mapa final'!#REF!="Menor"),CONCATENATE("R9C",'Mapa final'!#REF!),"")</f>
        <v>#REF!</v>
      </c>
      <c r="V54" s="36" t="e">
        <f>IF(AND('Mapa final'!#REF!="Muy Baja",'Mapa final'!#REF!="Moderado"),CONCATENATE("R9C",'Mapa final'!#REF!),"")</f>
        <v>#REF!</v>
      </c>
      <c r="W54" s="37" t="e">
        <f>IF(AND('Mapa final'!#REF!="Muy Baja",'Mapa final'!#REF!="Moderado"),CONCATENATE("R9C",'Mapa final'!#REF!),"")</f>
        <v>#REF!</v>
      </c>
      <c r="X54" s="37" t="e">
        <f>IF(AND('Mapa final'!#REF!="Muy Baja",'Mapa final'!#REF!="Moderado"),CONCATENATE("R9C",'Mapa final'!#REF!),"")</f>
        <v>#REF!</v>
      </c>
      <c r="Y54" s="37" t="e">
        <f>IF(AND('Mapa final'!#REF!="Muy Baja",'Mapa final'!#REF!="Moderado"),CONCATENATE("R9C",'Mapa final'!#REF!),"")</f>
        <v>#REF!</v>
      </c>
      <c r="Z54" s="37" t="e">
        <f>IF(AND('Mapa final'!#REF!="Muy Baja",'Mapa final'!#REF!="Moderado"),CONCATENATE("R9C",'Mapa final'!#REF!),"")</f>
        <v>#REF!</v>
      </c>
      <c r="AA54" s="38" t="e">
        <f>IF(AND('Mapa final'!#REF!="Muy Baja",'Mapa final'!#REF!="Moderado"),CONCATENATE("R9C",'Mapa final'!#REF!),"")</f>
        <v>#REF!</v>
      </c>
      <c r="AB54" s="21" t="e">
        <f>IF(AND('Mapa final'!#REF!="Muy Baja",'Mapa final'!#REF!="Mayor"),CONCATENATE("R9C",'Mapa final'!#REF!),"")</f>
        <v>#REF!</v>
      </c>
      <c r="AC54" s="22" t="e">
        <f>IF(AND('Mapa final'!#REF!="Muy Baja",'Mapa final'!#REF!="Mayor"),CONCATENATE("R9C",'Mapa final'!#REF!),"")</f>
        <v>#REF!</v>
      </c>
      <c r="AD54" s="22" t="e">
        <f>IF(AND('Mapa final'!#REF!="Muy Baja",'Mapa final'!#REF!="Mayor"),CONCATENATE("R9C",'Mapa final'!#REF!),"")</f>
        <v>#REF!</v>
      </c>
      <c r="AE54" s="22" t="e">
        <f>IF(AND('Mapa final'!#REF!="Muy Baja",'Mapa final'!#REF!="Mayor"),CONCATENATE("R9C",'Mapa final'!#REF!),"")</f>
        <v>#REF!</v>
      </c>
      <c r="AF54" s="22" t="e">
        <f>IF(AND('Mapa final'!#REF!="Muy Baja",'Mapa final'!#REF!="Mayor"),CONCATENATE("R9C",'Mapa final'!#REF!),"")</f>
        <v>#REF!</v>
      </c>
      <c r="AG54" s="23" t="e">
        <f>IF(AND('Mapa final'!#REF!="Muy Baja",'Mapa final'!#REF!="Mayor"),CONCATENATE("R9C",'Mapa final'!#REF!),"")</f>
        <v>#REF!</v>
      </c>
      <c r="AH54" s="24" t="e">
        <f>IF(AND('Mapa final'!#REF!="Muy Baja",'Mapa final'!#REF!="Catastrófico"),CONCATENATE("R9C",'Mapa final'!#REF!),"")</f>
        <v>#REF!</v>
      </c>
      <c r="AI54" s="25" t="e">
        <f>IF(AND('Mapa final'!#REF!="Muy Baja",'Mapa final'!#REF!="Catastrófico"),CONCATENATE("R9C",'Mapa final'!#REF!),"")</f>
        <v>#REF!</v>
      </c>
      <c r="AJ54" s="25" t="e">
        <f>IF(AND('Mapa final'!#REF!="Muy Baja",'Mapa final'!#REF!="Catastrófico"),CONCATENATE("R9C",'Mapa final'!#REF!),"")</f>
        <v>#REF!</v>
      </c>
      <c r="AK54" s="25" t="e">
        <f>IF(AND('Mapa final'!#REF!="Muy Baja",'Mapa final'!#REF!="Catastrófico"),CONCATENATE("R9C",'Mapa final'!#REF!),"")</f>
        <v>#REF!</v>
      </c>
      <c r="AL54" s="25" t="e">
        <f>IF(AND('Mapa final'!#REF!="Muy Baja",'Mapa final'!#REF!="Catastrófico"),CONCATENATE("R9C",'Mapa final'!#REF!),"")</f>
        <v>#REF!</v>
      </c>
      <c r="AM54" s="26" t="e">
        <f>IF(AND('Mapa final'!#REF!="Muy Baja",'Mapa final'!#REF!="Catastrófico"),CONCATENATE("R9C",'Mapa final'!#REF!),"")</f>
        <v>#REF!</v>
      </c>
    </row>
    <row r="55" spans="2:39" ht="15.75" customHeight="1" x14ac:dyDescent="0.25">
      <c r="B55" s="250"/>
      <c r="C55" s="282"/>
      <c r="D55" s="251"/>
      <c r="E55" s="270"/>
      <c r="F55" s="271"/>
      <c r="G55" s="271"/>
      <c r="H55" s="271"/>
      <c r="I55" s="274"/>
      <c r="J55" s="48" t="e">
        <f>IF(AND('Mapa final'!#REF!="Muy Baja",'Mapa final'!#REF!="Leve"),CONCATENATE("R10C",'Mapa final'!#REF!),"")</f>
        <v>#REF!</v>
      </c>
      <c r="K55" s="49" t="e">
        <f>IF(AND('Mapa final'!#REF!="Muy Baja",'Mapa final'!#REF!="Leve"),CONCATENATE("R10C",'Mapa final'!#REF!),"")</f>
        <v>#REF!</v>
      </c>
      <c r="L55" s="49" t="e">
        <f>IF(AND('Mapa final'!#REF!="Muy Baja",'Mapa final'!#REF!="Leve"),CONCATENATE("R10C",'Mapa final'!#REF!),"")</f>
        <v>#REF!</v>
      </c>
      <c r="M55" s="49" t="e">
        <f>IF(AND('Mapa final'!#REF!="Muy Baja",'Mapa final'!#REF!="Leve"),CONCATENATE("R10C",'Mapa final'!#REF!),"")</f>
        <v>#REF!</v>
      </c>
      <c r="N55" s="49" t="e">
        <f>IF(AND('Mapa final'!#REF!="Muy Baja",'Mapa final'!#REF!="Leve"),CONCATENATE("R10C",'Mapa final'!#REF!),"")</f>
        <v>#REF!</v>
      </c>
      <c r="O55" s="50" t="e">
        <f>IF(AND('Mapa final'!#REF!="Muy Baja",'Mapa final'!#REF!="Leve"),CONCATENATE("R10C",'Mapa final'!#REF!),"")</f>
        <v>#REF!</v>
      </c>
      <c r="P55" s="48" t="e">
        <f>IF(AND('Mapa final'!#REF!="Muy Baja",'Mapa final'!#REF!="Menor"),CONCATENATE("R10C",'Mapa final'!#REF!),"")</f>
        <v>#REF!</v>
      </c>
      <c r="Q55" s="49" t="e">
        <f>IF(AND('Mapa final'!#REF!="Muy Baja",'Mapa final'!#REF!="Menor"),CONCATENATE("R10C",'Mapa final'!#REF!),"")</f>
        <v>#REF!</v>
      </c>
      <c r="R55" s="49" t="e">
        <f>IF(AND('Mapa final'!#REF!="Muy Baja",'Mapa final'!#REF!="Menor"),CONCATENATE("R10C",'Mapa final'!#REF!),"")</f>
        <v>#REF!</v>
      </c>
      <c r="S55" s="49" t="e">
        <f>IF(AND('Mapa final'!#REF!="Muy Baja",'Mapa final'!#REF!="Menor"),CONCATENATE("R10C",'Mapa final'!#REF!),"")</f>
        <v>#REF!</v>
      </c>
      <c r="T55" s="49" t="e">
        <f>IF(AND('Mapa final'!#REF!="Muy Baja",'Mapa final'!#REF!="Menor"),CONCATENATE("R10C",'Mapa final'!#REF!),"")</f>
        <v>#REF!</v>
      </c>
      <c r="U55" s="50" t="e">
        <f>IF(AND('Mapa final'!#REF!="Muy Baja",'Mapa final'!#REF!="Menor"),CONCATENATE("R10C",'Mapa final'!#REF!),"")</f>
        <v>#REF!</v>
      </c>
      <c r="V55" s="39" t="e">
        <f>IF(AND('Mapa final'!#REF!="Muy Baja",'Mapa final'!#REF!="Moderado"),CONCATENATE("R10C",'Mapa final'!#REF!),"")</f>
        <v>#REF!</v>
      </c>
      <c r="W55" s="40" t="e">
        <f>IF(AND('Mapa final'!#REF!="Muy Baja",'Mapa final'!#REF!="Moderado"),CONCATENATE("R10C",'Mapa final'!#REF!),"")</f>
        <v>#REF!</v>
      </c>
      <c r="X55" s="40" t="e">
        <f>IF(AND('Mapa final'!#REF!="Muy Baja",'Mapa final'!#REF!="Moderado"),CONCATENATE("R10C",'Mapa final'!#REF!),"")</f>
        <v>#REF!</v>
      </c>
      <c r="Y55" s="40" t="e">
        <f>IF(AND('Mapa final'!#REF!="Muy Baja",'Mapa final'!#REF!="Moderado"),CONCATENATE("R10C",'Mapa final'!#REF!),"")</f>
        <v>#REF!</v>
      </c>
      <c r="Z55" s="40" t="e">
        <f>IF(AND('Mapa final'!#REF!="Muy Baja",'Mapa final'!#REF!="Moderado"),CONCATENATE("R10C",'Mapa final'!#REF!),"")</f>
        <v>#REF!</v>
      </c>
      <c r="AA55" s="41" t="e">
        <f>IF(AND('Mapa final'!#REF!="Muy Baja",'Mapa final'!#REF!="Moderado"),CONCATENATE("R10C",'Mapa final'!#REF!),"")</f>
        <v>#REF!</v>
      </c>
      <c r="AB55" s="27" t="e">
        <f>IF(AND('Mapa final'!#REF!="Muy Baja",'Mapa final'!#REF!="Mayor"),CONCATENATE("R10C",'Mapa final'!#REF!),"")</f>
        <v>#REF!</v>
      </c>
      <c r="AC55" s="28" t="e">
        <f>IF(AND('Mapa final'!#REF!="Muy Baja",'Mapa final'!#REF!="Mayor"),CONCATENATE("R10C",'Mapa final'!#REF!),"")</f>
        <v>#REF!</v>
      </c>
      <c r="AD55" s="28" t="e">
        <f>IF(AND('Mapa final'!#REF!="Muy Baja",'Mapa final'!#REF!="Mayor"),CONCATENATE("R10C",'Mapa final'!#REF!),"")</f>
        <v>#REF!</v>
      </c>
      <c r="AE55" s="28" t="e">
        <f>IF(AND('Mapa final'!#REF!="Muy Baja",'Mapa final'!#REF!="Mayor"),CONCATENATE("R10C",'Mapa final'!#REF!),"")</f>
        <v>#REF!</v>
      </c>
      <c r="AF55" s="28" t="e">
        <f>IF(AND('Mapa final'!#REF!="Muy Baja",'Mapa final'!#REF!="Mayor"),CONCATENATE("R10C",'Mapa final'!#REF!),"")</f>
        <v>#REF!</v>
      </c>
      <c r="AG55" s="29" t="e">
        <f>IF(AND('Mapa final'!#REF!="Muy Baja",'Mapa final'!#REF!="Mayor"),CONCATENATE("R10C",'Mapa final'!#REF!),"")</f>
        <v>#REF!</v>
      </c>
      <c r="AH55" s="30" t="e">
        <f>IF(AND('Mapa final'!#REF!="Muy Baja",'Mapa final'!#REF!="Catastrófico"),CONCATENATE("R10C",'Mapa final'!#REF!),"")</f>
        <v>#REF!</v>
      </c>
      <c r="AI55" s="31" t="e">
        <f>IF(AND('Mapa final'!#REF!="Muy Baja",'Mapa final'!#REF!="Catastrófico"),CONCATENATE("R10C",'Mapa final'!#REF!),"")</f>
        <v>#REF!</v>
      </c>
      <c r="AJ55" s="31" t="e">
        <f>IF(AND('Mapa final'!#REF!="Muy Baja",'Mapa final'!#REF!="Catastrófico"),CONCATENATE("R10C",'Mapa final'!#REF!),"")</f>
        <v>#REF!</v>
      </c>
      <c r="AK55" s="31" t="e">
        <f>IF(AND('Mapa final'!#REF!="Muy Baja",'Mapa final'!#REF!="Catastrófico"),CONCATENATE("R10C",'Mapa final'!#REF!),"")</f>
        <v>#REF!</v>
      </c>
      <c r="AL55" s="31" t="e">
        <f>IF(AND('Mapa final'!#REF!="Muy Baja",'Mapa final'!#REF!="Catastrófico"),CONCATENATE("R10C",'Mapa final'!#REF!),"")</f>
        <v>#REF!</v>
      </c>
      <c r="AM55" s="32" t="e">
        <f>IF(AND('Mapa final'!#REF!="Muy Baja",'Mapa final'!#REF!="Catastrófico"),CONCATENATE("R10C",'Mapa final'!#REF!),"")</f>
        <v>#REF!</v>
      </c>
    </row>
    <row r="56" spans="2:39" ht="15.75" customHeight="1" x14ac:dyDescent="0.25">
      <c r="B56" s="1"/>
      <c r="C56" s="1"/>
      <c r="D56" s="1"/>
      <c r="E56" s="1"/>
      <c r="F56" s="1"/>
      <c r="G56" s="1"/>
      <c r="H56" s="1"/>
      <c r="I56" s="1"/>
      <c r="J56" s="298" t="s">
        <v>104</v>
      </c>
      <c r="K56" s="269"/>
      <c r="L56" s="269"/>
      <c r="M56" s="269"/>
      <c r="N56" s="269"/>
      <c r="O56" s="255"/>
      <c r="P56" s="298" t="s">
        <v>105</v>
      </c>
      <c r="Q56" s="269"/>
      <c r="R56" s="269"/>
      <c r="S56" s="269"/>
      <c r="T56" s="269"/>
      <c r="U56" s="255"/>
      <c r="V56" s="298" t="s">
        <v>106</v>
      </c>
      <c r="W56" s="269"/>
      <c r="X56" s="269"/>
      <c r="Y56" s="269"/>
      <c r="Z56" s="269"/>
      <c r="AA56" s="255"/>
      <c r="AB56" s="298" t="s">
        <v>107</v>
      </c>
      <c r="AC56" s="269"/>
      <c r="AD56" s="269"/>
      <c r="AE56" s="269"/>
      <c r="AF56" s="269"/>
      <c r="AG56" s="255"/>
      <c r="AH56" s="298" t="s">
        <v>108</v>
      </c>
      <c r="AI56" s="269"/>
      <c r="AJ56" s="269"/>
      <c r="AK56" s="269"/>
      <c r="AL56" s="269"/>
      <c r="AM56" s="255"/>
    </row>
    <row r="57" spans="2:39" ht="15.75" customHeight="1" x14ac:dyDescent="0.25">
      <c r="B57" s="1"/>
      <c r="C57" s="1"/>
      <c r="D57" s="1"/>
      <c r="E57" s="1"/>
      <c r="F57" s="1"/>
      <c r="G57" s="1"/>
      <c r="H57" s="1"/>
      <c r="I57" s="1"/>
      <c r="J57" s="247"/>
      <c r="K57" s="235"/>
      <c r="L57" s="235"/>
      <c r="M57" s="235"/>
      <c r="N57" s="235"/>
      <c r="O57" s="236"/>
      <c r="P57" s="247"/>
      <c r="Q57" s="235"/>
      <c r="R57" s="235"/>
      <c r="S57" s="235"/>
      <c r="T57" s="235"/>
      <c r="U57" s="236"/>
      <c r="V57" s="247"/>
      <c r="W57" s="235"/>
      <c r="X57" s="235"/>
      <c r="Y57" s="235"/>
      <c r="Z57" s="235"/>
      <c r="AA57" s="236"/>
      <c r="AB57" s="247"/>
      <c r="AC57" s="235"/>
      <c r="AD57" s="235"/>
      <c r="AE57" s="235"/>
      <c r="AF57" s="235"/>
      <c r="AG57" s="236"/>
      <c r="AH57" s="247"/>
      <c r="AI57" s="235"/>
      <c r="AJ57" s="235"/>
      <c r="AK57" s="235"/>
      <c r="AL57" s="235"/>
      <c r="AM57" s="236"/>
    </row>
    <row r="58" spans="2:39" ht="15.75" customHeight="1" x14ac:dyDescent="0.25">
      <c r="B58" s="1"/>
      <c r="C58" s="1"/>
      <c r="D58" s="1"/>
      <c r="E58" s="1"/>
      <c r="F58" s="1"/>
      <c r="G58" s="1"/>
      <c r="H58" s="1"/>
      <c r="I58" s="1"/>
      <c r="J58" s="247"/>
      <c r="K58" s="235"/>
      <c r="L58" s="235"/>
      <c r="M58" s="235"/>
      <c r="N58" s="235"/>
      <c r="O58" s="236"/>
      <c r="P58" s="247"/>
      <c r="Q58" s="235"/>
      <c r="R58" s="235"/>
      <c r="S58" s="235"/>
      <c r="T58" s="235"/>
      <c r="U58" s="236"/>
      <c r="V58" s="247"/>
      <c r="W58" s="235"/>
      <c r="X58" s="235"/>
      <c r="Y58" s="235"/>
      <c r="Z58" s="235"/>
      <c r="AA58" s="236"/>
      <c r="AB58" s="247"/>
      <c r="AC58" s="235"/>
      <c r="AD58" s="235"/>
      <c r="AE58" s="235"/>
      <c r="AF58" s="235"/>
      <c r="AG58" s="236"/>
      <c r="AH58" s="247"/>
      <c r="AI58" s="235"/>
      <c r="AJ58" s="235"/>
      <c r="AK58" s="235"/>
      <c r="AL58" s="235"/>
      <c r="AM58" s="236"/>
    </row>
    <row r="59" spans="2:39" ht="15.75" customHeight="1" x14ac:dyDescent="0.25">
      <c r="B59" s="1"/>
      <c r="C59" s="1"/>
      <c r="D59" s="1"/>
      <c r="E59" s="1"/>
      <c r="F59" s="1"/>
      <c r="G59" s="1"/>
      <c r="H59" s="1"/>
      <c r="I59" s="1"/>
      <c r="J59" s="247"/>
      <c r="K59" s="235"/>
      <c r="L59" s="235"/>
      <c r="M59" s="235"/>
      <c r="N59" s="235"/>
      <c r="O59" s="236"/>
      <c r="P59" s="247"/>
      <c r="Q59" s="235"/>
      <c r="R59" s="235"/>
      <c r="S59" s="235"/>
      <c r="T59" s="235"/>
      <c r="U59" s="236"/>
      <c r="V59" s="247"/>
      <c r="W59" s="235"/>
      <c r="X59" s="235"/>
      <c r="Y59" s="235"/>
      <c r="Z59" s="235"/>
      <c r="AA59" s="236"/>
      <c r="AB59" s="247"/>
      <c r="AC59" s="235"/>
      <c r="AD59" s="235"/>
      <c r="AE59" s="235"/>
      <c r="AF59" s="235"/>
      <c r="AG59" s="236"/>
      <c r="AH59" s="247"/>
      <c r="AI59" s="235"/>
      <c r="AJ59" s="235"/>
      <c r="AK59" s="235"/>
      <c r="AL59" s="235"/>
      <c r="AM59" s="236"/>
    </row>
    <row r="60" spans="2:39" ht="15.75" customHeight="1" x14ac:dyDescent="0.25">
      <c r="B60" s="1"/>
      <c r="C60" s="1"/>
      <c r="D60" s="1"/>
      <c r="E60" s="1"/>
      <c r="F60" s="1"/>
      <c r="G60" s="1"/>
      <c r="H60" s="1"/>
      <c r="I60" s="1"/>
      <c r="J60" s="247"/>
      <c r="K60" s="235"/>
      <c r="L60" s="235"/>
      <c r="M60" s="235"/>
      <c r="N60" s="235"/>
      <c r="O60" s="236"/>
      <c r="P60" s="247"/>
      <c r="Q60" s="235"/>
      <c r="R60" s="235"/>
      <c r="S60" s="235"/>
      <c r="T60" s="235"/>
      <c r="U60" s="236"/>
      <c r="V60" s="247"/>
      <c r="W60" s="235"/>
      <c r="X60" s="235"/>
      <c r="Y60" s="235"/>
      <c r="Z60" s="235"/>
      <c r="AA60" s="236"/>
      <c r="AB60" s="247"/>
      <c r="AC60" s="235"/>
      <c r="AD60" s="235"/>
      <c r="AE60" s="235"/>
      <c r="AF60" s="235"/>
      <c r="AG60" s="236"/>
      <c r="AH60" s="247"/>
      <c r="AI60" s="235"/>
      <c r="AJ60" s="235"/>
      <c r="AK60" s="235"/>
      <c r="AL60" s="235"/>
      <c r="AM60" s="236"/>
    </row>
    <row r="61" spans="2:39" ht="15.75" customHeight="1" x14ac:dyDescent="0.25">
      <c r="B61" s="1"/>
      <c r="C61" s="1"/>
      <c r="D61" s="1"/>
      <c r="E61" s="1"/>
      <c r="F61" s="1"/>
      <c r="G61" s="1"/>
      <c r="H61" s="1"/>
      <c r="I61" s="1"/>
      <c r="J61" s="270"/>
      <c r="K61" s="271"/>
      <c r="L61" s="271"/>
      <c r="M61" s="271"/>
      <c r="N61" s="271"/>
      <c r="O61" s="274"/>
      <c r="P61" s="270"/>
      <c r="Q61" s="271"/>
      <c r="R61" s="271"/>
      <c r="S61" s="271"/>
      <c r="T61" s="271"/>
      <c r="U61" s="274"/>
      <c r="V61" s="270"/>
      <c r="W61" s="271"/>
      <c r="X61" s="271"/>
      <c r="Y61" s="271"/>
      <c r="Z61" s="271"/>
      <c r="AA61" s="274"/>
      <c r="AB61" s="270"/>
      <c r="AC61" s="271"/>
      <c r="AD61" s="271"/>
      <c r="AE61" s="271"/>
      <c r="AF61" s="271"/>
      <c r="AG61" s="274"/>
      <c r="AH61" s="270"/>
      <c r="AI61" s="271"/>
      <c r="AJ61" s="271"/>
      <c r="AK61" s="271"/>
      <c r="AL61" s="271"/>
      <c r="AM61" s="274"/>
    </row>
  </sheetData>
  <mergeCells count="17">
    <mergeCell ref="AO16:AT25"/>
    <mergeCell ref="AO26:AT35"/>
    <mergeCell ref="AO6:AT15"/>
    <mergeCell ref="AO36:AT45"/>
    <mergeCell ref="E46:I55"/>
    <mergeCell ref="J56:O61"/>
    <mergeCell ref="P56:U61"/>
    <mergeCell ref="V56:AA61"/>
    <mergeCell ref="AB56:AG61"/>
    <mergeCell ref="AH56:AM61"/>
    <mergeCell ref="B2:I4"/>
    <mergeCell ref="J2:AM4"/>
    <mergeCell ref="B6:D55"/>
    <mergeCell ref="E6:I15"/>
    <mergeCell ref="E16:I25"/>
    <mergeCell ref="E26:I35"/>
    <mergeCell ref="E36:I45"/>
  </mergeCell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D8"/>
  <sheetViews>
    <sheetView topLeftCell="A3" workbookViewId="0">
      <selection activeCell="C7" sqref="C7"/>
    </sheetView>
  </sheetViews>
  <sheetFormatPr baseColWidth="10" defaultColWidth="12.625" defaultRowHeight="15" customHeight="1" x14ac:dyDescent="0.2"/>
  <cols>
    <col min="1" max="1" width="9.375" customWidth="1"/>
    <col min="2" max="2" width="21.125" customWidth="1"/>
    <col min="3" max="3" width="61.375" customWidth="1"/>
    <col min="4" max="4" width="26.125" customWidth="1"/>
    <col min="5" max="26" width="9.375" customWidth="1"/>
  </cols>
  <sheetData>
    <row r="1" spans="2:4" ht="23.25" x14ac:dyDescent="0.2">
      <c r="B1" s="303" t="s">
        <v>110</v>
      </c>
      <c r="C1" s="235"/>
      <c r="D1" s="235"/>
    </row>
    <row r="2" spans="2:4" x14ac:dyDescent="0.25">
      <c r="B2" s="1"/>
      <c r="C2" s="1"/>
      <c r="D2" s="1"/>
    </row>
    <row r="3" spans="2:4" ht="25.5" x14ac:dyDescent="0.2">
      <c r="B3" s="52"/>
      <c r="C3" s="53" t="s">
        <v>111</v>
      </c>
      <c r="D3" s="53" t="s">
        <v>94</v>
      </c>
    </row>
    <row r="4" spans="2:4" ht="51" x14ac:dyDescent="0.2">
      <c r="B4" s="54" t="s">
        <v>112</v>
      </c>
      <c r="C4" s="55" t="s">
        <v>113</v>
      </c>
      <c r="D4" s="56">
        <v>0.2</v>
      </c>
    </row>
    <row r="5" spans="2:4" ht="51" x14ac:dyDescent="0.2">
      <c r="B5" s="57" t="s">
        <v>114</v>
      </c>
      <c r="C5" s="58" t="s">
        <v>115</v>
      </c>
      <c r="D5" s="59">
        <v>0.4</v>
      </c>
    </row>
    <row r="6" spans="2:4" ht="51" x14ac:dyDescent="0.2">
      <c r="B6" s="60" t="s">
        <v>116</v>
      </c>
      <c r="C6" s="58" t="s">
        <v>117</v>
      </c>
      <c r="D6" s="59">
        <v>0.6</v>
      </c>
    </row>
    <row r="7" spans="2:4" ht="76.5" x14ac:dyDescent="0.2">
      <c r="B7" s="61" t="s">
        <v>118</v>
      </c>
      <c r="C7" s="58" t="s">
        <v>119</v>
      </c>
      <c r="D7" s="59">
        <v>0.8</v>
      </c>
    </row>
    <row r="8" spans="2:4" ht="51" x14ac:dyDescent="0.2">
      <c r="B8" s="62" t="s">
        <v>120</v>
      </c>
      <c r="C8" s="58" t="s">
        <v>121</v>
      </c>
      <c r="D8" s="59">
        <v>1</v>
      </c>
    </row>
  </sheetData>
  <mergeCells count="1">
    <mergeCell ref="B1:D1"/>
  </mergeCells>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6923C"/>
  </sheetPr>
  <dimension ref="A1:H224"/>
  <sheetViews>
    <sheetView topLeftCell="B2" zoomScale="70" zoomScaleNormal="70" workbookViewId="0">
      <selection activeCell="C7" sqref="C7"/>
    </sheetView>
  </sheetViews>
  <sheetFormatPr baseColWidth="10" defaultColWidth="12.625" defaultRowHeight="15" customHeight="1" x14ac:dyDescent="0.2"/>
  <cols>
    <col min="1" max="1" width="9.375" customWidth="1"/>
    <col min="2" max="2" width="35.375" customWidth="1"/>
    <col min="3" max="3" width="65.5" customWidth="1"/>
    <col min="4" max="4" width="118.125" customWidth="1"/>
    <col min="5" max="5" width="126.625" customWidth="1"/>
    <col min="6" max="26" width="9.375" customWidth="1"/>
  </cols>
  <sheetData>
    <row r="1" spans="1:4" ht="33.75" x14ac:dyDescent="0.25">
      <c r="A1" s="1"/>
      <c r="B1" s="304" t="s">
        <v>122</v>
      </c>
      <c r="C1" s="235"/>
      <c r="D1" s="235"/>
    </row>
    <row r="2" spans="1:4" x14ac:dyDescent="0.25">
      <c r="A2" s="1"/>
      <c r="B2" s="1"/>
      <c r="C2" s="1"/>
      <c r="D2" s="1"/>
    </row>
    <row r="3" spans="1:4" ht="30" x14ac:dyDescent="0.25">
      <c r="A3" s="1"/>
      <c r="B3" s="63"/>
      <c r="C3" s="64" t="s">
        <v>123</v>
      </c>
      <c r="D3" s="64" t="s">
        <v>124</v>
      </c>
    </row>
    <row r="4" spans="1:4" ht="33.75" x14ac:dyDescent="0.25">
      <c r="A4" s="65" t="s">
        <v>125</v>
      </c>
      <c r="B4" s="66" t="s">
        <v>126</v>
      </c>
      <c r="C4" s="67" t="s">
        <v>127</v>
      </c>
      <c r="D4" s="68" t="s">
        <v>128</v>
      </c>
    </row>
    <row r="5" spans="1:4" ht="67.5" x14ac:dyDescent="0.25">
      <c r="A5" s="65" t="s">
        <v>129</v>
      </c>
      <c r="B5" s="69" t="s">
        <v>130</v>
      </c>
      <c r="C5" s="70" t="s">
        <v>131</v>
      </c>
      <c r="D5" s="71" t="s">
        <v>132</v>
      </c>
    </row>
    <row r="6" spans="1:4" ht="67.5" x14ac:dyDescent="0.25">
      <c r="A6" s="65" t="s">
        <v>100</v>
      </c>
      <c r="B6" s="72" t="s">
        <v>133</v>
      </c>
      <c r="C6" s="98" t="s">
        <v>134</v>
      </c>
      <c r="D6" s="99" t="s">
        <v>215</v>
      </c>
    </row>
    <row r="7" spans="1:4" ht="101.25" x14ac:dyDescent="0.25">
      <c r="A7" s="65" t="s">
        <v>136</v>
      </c>
      <c r="B7" s="73" t="s">
        <v>137</v>
      </c>
      <c r="C7" s="70" t="s">
        <v>138</v>
      </c>
      <c r="D7" s="71" t="s">
        <v>214</v>
      </c>
    </row>
    <row r="8" spans="1:4" ht="67.5" x14ac:dyDescent="0.25">
      <c r="A8" s="65" t="s">
        <v>140</v>
      </c>
      <c r="B8" s="74" t="s">
        <v>141</v>
      </c>
      <c r="C8" s="70" t="s">
        <v>142</v>
      </c>
      <c r="D8" s="71" t="s">
        <v>143</v>
      </c>
    </row>
    <row r="9" spans="1:4" ht="20.25" x14ac:dyDescent="0.25">
      <c r="A9" s="65"/>
      <c r="B9" s="65"/>
      <c r="C9" s="75"/>
      <c r="D9" s="75"/>
    </row>
    <row r="10" spans="1:4" ht="16.5" x14ac:dyDescent="0.25">
      <c r="A10" s="65"/>
      <c r="B10" s="76"/>
      <c r="C10" s="76"/>
      <c r="D10" s="76"/>
    </row>
    <row r="11" spans="1:4" x14ac:dyDescent="0.25">
      <c r="A11" s="65"/>
      <c r="B11" s="65" t="s">
        <v>144</v>
      </c>
      <c r="C11" s="65" t="s">
        <v>145</v>
      </c>
      <c r="D11" s="65" t="s">
        <v>146</v>
      </c>
    </row>
    <row r="12" spans="1:4" x14ac:dyDescent="0.25">
      <c r="A12" s="65"/>
      <c r="B12" s="65" t="s">
        <v>147</v>
      </c>
      <c r="C12" s="65" t="s">
        <v>148</v>
      </c>
      <c r="D12" s="65" t="s">
        <v>149</v>
      </c>
    </row>
    <row r="13" spans="1:4" x14ac:dyDescent="0.25">
      <c r="A13" s="65"/>
      <c r="B13" s="65"/>
      <c r="C13" s="65" t="s">
        <v>150</v>
      </c>
      <c r="D13" s="65" t="s">
        <v>151</v>
      </c>
    </row>
    <row r="14" spans="1:4" x14ac:dyDescent="0.25">
      <c r="A14" s="65"/>
      <c r="B14" s="65"/>
      <c r="C14" s="65" t="s">
        <v>152</v>
      </c>
      <c r="D14" s="65" t="s">
        <v>153</v>
      </c>
    </row>
    <row r="15" spans="1:4" x14ac:dyDescent="0.25">
      <c r="A15" s="65"/>
      <c r="B15" s="65"/>
      <c r="C15" s="65" t="s">
        <v>154</v>
      </c>
      <c r="D15" s="65" t="s">
        <v>155</v>
      </c>
    </row>
    <row r="209" spans="2:8" ht="15.75" customHeight="1" x14ac:dyDescent="0.25">
      <c r="B209" s="77" t="s">
        <v>156</v>
      </c>
      <c r="C209" s="77" t="s">
        <v>157</v>
      </c>
      <c r="D209" s="78" t="s">
        <v>156</v>
      </c>
      <c r="E209" s="78" t="s">
        <v>157</v>
      </c>
    </row>
    <row r="210" spans="2:8" ht="15.75" customHeight="1" x14ac:dyDescent="0.35">
      <c r="B210" s="79" t="s">
        <v>158</v>
      </c>
      <c r="C210" s="79" t="s">
        <v>159</v>
      </c>
      <c r="D210" s="80" t="s">
        <v>158</v>
      </c>
      <c r="F210" s="80" t="str">
        <f t="shared" ref="F210:F221" si="0">IF(NOT(ISBLANK(D210)),D210,IF(NOT(ISBLANK(E210)),"     "&amp;E210,FALSE))</f>
        <v>Afectación Económica o presupuestal</v>
      </c>
      <c r="G210" s="80" t="s">
        <v>158</v>
      </c>
      <c r="H210" s="80" t="str">
        <f ca="1">IF(NOT(ISERROR(MATCH(G210,ANCHORARRAY(B221),0))),F223&amp;"Por favor no seleccionar los criterios de impacto",G210)</f>
        <v>Afectación Económica o presupuestal</v>
      </c>
    </row>
    <row r="211" spans="2:8" ht="15.75" customHeight="1" x14ac:dyDescent="0.35">
      <c r="B211" s="79" t="s">
        <v>158</v>
      </c>
      <c r="C211" s="79" t="s">
        <v>131</v>
      </c>
      <c r="E211" s="80" t="s">
        <v>159</v>
      </c>
      <c r="F211" s="80" t="str">
        <f t="shared" si="0"/>
        <v xml:space="preserve">     Afectación menor a 10 SMLMV .</v>
      </c>
    </row>
    <row r="212" spans="2:8" ht="15.75" customHeight="1" x14ac:dyDescent="0.35">
      <c r="B212" s="79" t="s">
        <v>158</v>
      </c>
      <c r="C212" s="79" t="s">
        <v>134</v>
      </c>
      <c r="E212" s="80" t="s">
        <v>131</v>
      </c>
      <c r="F212" s="80" t="str">
        <f t="shared" si="0"/>
        <v xml:space="preserve">     Entre 10 y 50 SMLMV </v>
      </c>
    </row>
    <row r="213" spans="2:8" ht="15.75" customHeight="1" x14ac:dyDescent="0.35">
      <c r="B213" s="79" t="s">
        <v>158</v>
      </c>
      <c r="C213" s="79" t="s">
        <v>138</v>
      </c>
      <c r="E213" s="80" t="s">
        <v>134</v>
      </c>
      <c r="F213" s="80" t="str">
        <f t="shared" si="0"/>
        <v xml:space="preserve">     Entre 50 y 100 SMLMV </v>
      </c>
    </row>
    <row r="214" spans="2:8" ht="15.75" customHeight="1" x14ac:dyDescent="0.35">
      <c r="B214" s="79" t="s">
        <v>158</v>
      </c>
      <c r="C214" s="79" t="s">
        <v>142</v>
      </c>
      <c r="E214" s="80" t="s">
        <v>138</v>
      </c>
      <c r="F214" s="80" t="str">
        <f t="shared" si="0"/>
        <v xml:space="preserve">     Entre 100 y 500 SMLMV </v>
      </c>
    </row>
    <row r="215" spans="2:8" ht="15.75" customHeight="1" x14ac:dyDescent="0.35">
      <c r="B215" s="79" t="s">
        <v>124</v>
      </c>
      <c r="C215" s="79" t="s">
        <v>128</v>
      </c>
      <c r="E215" s="80" t="s">
        <v>142</v>
      </c>
      <c r="F215" s="80" t="str">
        <f t="shared" si="0"/>
        <v xml:space="preserve">     Mayor a 500 SMLMV </v>
      </c>
    </row>
    <row r="216" spans="2:8" ht="15.75" customHeight="1" x14ac:dyDescent="0.35">
      <c r="B216" s="79" t="s">
        <v>124</v>
      </c>
      <c r="C216" s="79" t="s">
        <v>132</v>
      </c>
      <c r="D216" s="80" t="s">
        <v>124</v>
      </c>
      <c r="F216" s="80" t="str">
        <f t="shared" si="0"/>
        <v>Pérdida Reputacional</v>
      </c>
    </row>
    <row r="217" spans="2:8" ht="15.75" customHeight="1" x14ac:dyDescent="0.35">
      <c r="B217" s="79" t="s">
        <v>124</v>
      </c>
      <c r="C217" s="79" t="s">
        <v>135</v>
      </c>
      <c r="E217" s="80" t="s">
        <v>128</v>
      </c>
      <c r="F217" s="80" t="str">
        <f t="shared" si="0"/>
        <v xml:space="preserve">     El riesgo afecta la imagen de alguna área de la organización</v>
      </c>
    </row>
    <row r="218" spans="2:8" ht="15.75" customHeight="1" x14ac:dyDescent="0.35">
      <c r="B218" s="79" t="s">
        <v>124</v>
      </c>
      <c r="C218" s="79" t="s">
        <v>139</v>
      </c>
      <c r="E218" s="80" t="s">
        <v>132</v>
      </c>
      <c r="F218" s="80" t="str">
        <f t="shared" si="0"/>
        <v xml:space="preserve">     El riesgo afecta la imagen de la entidad internamente, de conocimiento general, nivel interno, de junta dircetiva y accionistas y/o de provedores</v>
      </c>
    </row>
    <row r="219" spans="2:8" ht="15.75" customHeight="1" x14ac:dyDescent="0.35">
      <c r="B219" s="79" t="s">
        <v>124</v>
      </c>
      <c r="C219" s="79" t="s">
        <v>143</v>
      </c>
      <c r="E219" s="80" t="s">
        <v>135</v>
      </c>
      <c r="F219" s="80" t="str">
        <f t="shared" si="0"/>
        <v xml:space="preserve">     El riesgo afecta la imagen de la entidad con algunos usuarios de relevancia frente al logro de los objetivos</v>
      </c>
    </row>
    <row r="220" spans="2:8" ht="15.75" customHeight="1" x14ac:dyDescent="0.25">
      <c r="B220" s="81"/>
      <c r="C220" s="81"/>
      <c r="E220" s="80" t="s">
        <v>139</v>
      </c>
      <c r="F220" s="80" t="str">
        <f t="shared" si="0"/>
        <v xml:space="preserve">     El riesgo afecta la imagen de de la entidad con efecto publicitario sostenido a nivel de sector administrativo, nivel departamental o municipal</v>
      </c>
    </row>
    <row r="221" spans="2:8" ht="15.75" customHeight="1" x14ac:dyDescent="0.25">
      <c r="B221" s="81" t="str">
        <f ca="1">IFERROR(__xludf.DUMMYFUNCTION("ARRAY_CONSTRAIN(ARRAYFORMULA(UNIQUE('Tabla Impacto'!$B$209:$B$219)), 3, 1)"),"Criterios")</f>
        <v>Criterios</v>
      </c>
      <c r="C221" s="81"/>
      <c r="E221" s="80" t="s">
        <v>143</v>
      </c>
      <c r="F221" s="80" t="str">
        <f t="shared" si="0"/>
        <v xml:space="preserve">     El riesgo afecta la imagen de la entidad a nivel nacional, con efecto publicitarios sostenible a nivel país</v>
      </c>
    </row>
    <row r="222" spans="2:8" ht="15.75" customHeight="1" x14ac:dyDescent="0.25">
      <c r="B222" s="81" t="str">
        <f ca="1">IFERROR(__xludf.DUMMYFUNCTION("""COMPUTED_VALUE"""),"Afectación Económica o presupuestal")</f>
        <v>Afectación Económica o presupuestal</v>
      </c>
      <c r="C222" s="81"/>
    </row>
    <row r="223" spans="2:8" ht="15.75" customHeight="1" x14ac:dyDescent="0.25">
      <c r="B223" s="81" t="str">
        <f ca="1">IFERROR(__xludf.DUMMYFUNCTION("""COMPUTED_VALUE"""),"Pérdida Reputacional")</f>
        <v>Pérdida Reputacional</v>
      </c>
      <c r="C223" s="81"/>
      <c r="F223" s="82" t="s">
        <v>160</v>
      </c>
    </row>
    <row r="224" spans="2:8" ht="15.75" customHeight="1" x14ac:dyDescent="0.25">
      <c r="B224" s="78"/>
      <c r="C224" s="78"/>
      <c r="F224" s="82" t="s">
        <v>161</v>
      </c>
    </row>
  </sheetData>
  <mergeCells count="1">
    <mergeCell ref="B1:D1"/>
  </mergeCells>
  <dataValidations count="1">
    <dataValidation type="list" allowBlank="1" showErrorMessage="1" sqref="G210">
      <formula1>$F$210:$F$221</formula1>
    </dataValidation>
  </dataValidations>
  <pageMargins left="0.7" right="0.7" top="0.75" bottom="0.75" header="0" footer="0"/>
  <pageSetup orientation="portrait"/>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F497A"/>
  </sheetPr>
  <dimension ref="B1:F15"/>
  <sheetViews>
    <sheetView workbookViewId="0">
      <selection activeCell="E7" sqref="E7"/>
    </sheetView>
  </sheetViews>
  <sheetFormatPr baseColWidth="10" defaultColWidth="12.625" defaultRowHeight="15" customHeight="1" x14ac:dyDescent="0.2"/>
  <cols>
    <col min="1" max="2" width="12.5" customWidth="1"/>
    <col min="3" max="3" width="14.875" customWidth="1"/>
    <col min="4" max="4" width="12.5" customWidth="1"/>
    <col min="5" max="5" width="40.25" customWidth="1"/>
    <col min="6" max="26" width="12.5" customWidth="1"/>
  </cols>
  <sheetData>
    <row r="1" spans="2:6" ht="24" customHeight="1" x14ac:dyDescent="0.2">
      <c r="B1" s="310" t="s">
        <v>162</v>
      </c>
      <c r="C1" s="311"/>
      <c r="D1" s="311"/>
      <c r="E1" s="311"/>
      <c r="F1" s="312"/>
    </row>
    <row r="2" spans="2:6" ht="12.75" customHeight="1" x14ac:dyDescent="0.25">
      <c r="B2" s="83"/>
      <c r="C2" s="83"/>
      <c r="D2" s="83"/>
      <c r="E2" s="83"/>
      <c r="F2" s="83"/>
    </row>
    <row r="3" spans="2:6" ht="12.75" customHeight="1" x14ac:dyDescent="0.2">
      <c r="B3" s="313" t="s">
        <v>163</v>
      </c>
      <c r="C3" s="311"/>
      <c r="D3" s="314"/>
      <c r="E3" s="84" t="s">
        <v>164</v>
      </c>
      <c r="F3" s="85" t="s">
        <v>165</v>
      </c>
    </row>
    <row r="4" spans="2:6" ht="12.75" customHeight="1" x14ac:dyDescent="0.2">
      <c r="B4" s="315" t="s">
        <v>166</v>
      </c>
      <c r="C4" s="318" t="s">
        <v>86</v>
      </c>
      <c r="D4" s="86" t="s">
        <v>167</v>
      </c>
      <c r="E4" s="87" t="s">
        <v>168</v>
      </c>
      <c r="F4" s="88">
        <v>0.25</v>
      </c>
    </row>
    <row r="5" spans="2:6" ht="12.75" customHeight="1" x14ac:dyDescent="0.2">
      <c r="B5" s="316"/>
      <c r="C5" s="319"/>
      <c r="D5" s="89" t="s">
        <v>169</v>
      </c>
      <c r="E5" s="90" t="s">
        <v>170</v>
      </c>
      <c r="F5" s="91">
        <v>0.15</v>
      </c>
    </row>
    <row r="6" spans="2:6" ht="12.75" customHeight="1" x14ac:dyDescent="0.2">
      <c r="B6" s="316"/>
      <c r="C6" s="308"/>
      <c r="D6" s="89" t="s">
        <v>171</v>
      </c>
      <c r="E6" s="90" t="s">
        <v>172</v>
      </c>
      <c r="F6" s="91">
        <v>0.1</v>
      </c>
    </row>
    <row r="7" spans="2:6" ht="12.75" customHeight="1" x14ac:dyDescent="0.2">
      <c r="B7" s="316"/>
      <c r="C7" s="307" t="s">
        <v>87</v>
      </c>
      <c r="D7" s="89" t="s">
        <v>173</v>
      </c>
      <c r="E7" s="90" t="s">
        <v>174</v>
      </c>
      <c r="F7" s="91">
        <v>0.25</v>
      </c>
    </row>
    <row r="8" spans="2:6" ht="12.75" customHeight="1" x14ac:dyDescent="0.2">
      <c r="B8" s="317"/>
      <c r="C8" s="308"/>
      <c r="D8" s="89" t="s">
        <v>175</v>
      </c>
      <c r="E8" s="90" t="s">
        <v>176</v>
      </c>
      <c r="F8" s="91">
        <v>0.15</v>
      </c>
    </row>
    <row r="9" spans="2:6" ht="12.75" customHeight="1" x14ac:dyDescent="0.2">
      <c r="B9" s="320" t="s">
        <v>177</v>
      </c>
      <c r="C9" s="307" t="s">
        <v>89</v>
      </c>
      <c r="D9" s="89" t="s">
        <v>178</v>
      </c>
      <c r="E9" s="90" t="s">
        <v>179</v>
      </c>
      <c r="F9" s="92" t="s">
        <v>180</v>
      </c>
    </row>
    <row r="10" spans="2:6" ht="12.75" customHeight="1" x14ac:dyDescent="0.2">
      <c r="B10" s="316"/>
      <c r="C10" s="308"/>
      <c r="D10" s="89" t="s">
        <v>181</v>
      </c>
      <c r="E10" s="90" t="s">
        <v>182</v>
      </c>
      <c r="F10" s="92" t="s">
        <v>180</v>
      </c>
    </row>
    <row r="11" spans="2:6" ht="12.75" customHeight="1" x14ac:dyDescent="0.2">
      <c r="B11" s="316"/>
      <c r="C11" s="307" t="s">
        <v>90</v>
      </c>
      <c r="D11" s="89" t="s">
        <v>183</v>
      </c>
      <c r="E11" s="90" t="s">
        <v>184</v>
      </c>
      <c r="F11" s="92" t="s">
        <v>180</v>
      </c>
    </row>
    <row r="12" spans="2:6" ht="12.75" customHeight="1" x14ac:dyDescent="0.2">
      <c r="B12" s="316"/>
      <c r="C12" s="308"/>
      <c r="D12" s="89" t="s">
        <v>185</v>
      </c>
      <c r="E12" s="90" t="s">
        <v>186</v>
      </c>
      <c r="F12" s="92" t="s">
        <v>180</v>
      </c>
    </row>
    <row r="13" spans="2:6" ht="12.75" customHeight="1" x14ac:dyDescent="0.2">
      <c r="B13" s="316"/>
      <c r="C13" s="307" t="s">
        <v>91</v>
      </c>
      <c r="D13" s="89" t="s">
        <v>187</v>
      </c>
      <c r="E13" s="90" t="s">
        <v>188</v>
      </c>
      <c r="F13" s="92" t="s">
        <v>180</v>
      </c>
    </row>
    <row r="14" spans="2:6" ht="12.75" customHeight="1" x14ac:dyDescent="0.2">
      <c r="B14" s="321"/>
      <c r="C14" s="309"/>
      <c r="D14" s="93" t="s">
        <v>189</v>
      </c>
      <c r="E14" s="94" t="s">
        <v>190</v>
      </c>
      <c r="F14" s="95" t="s">
        <v>180</v>
      </c>
    </row>
    <row r="15" spans="2:6" ht="49.5" customHeight="1" x14ac:dyDescent="0.2">
      <c r="B15" s="305" t="s">
        <v>191</v>
      </c>
      <c r="C15" s="213"/>
      <c r="D15" s="213"/>
      <c r="E15" s="213"/>
      <c r="F15" s="306"/>
    </row>
  </sheetData>
  <mergeCells count="10">
    <mergeCell ref="B15:F15"/>
    <mergeCell ref="C11:C12"/>
    <mergeCell ref="C13:C14"/>
    <mergeCell ref="B1:F1"/>
    <mergeCell ref="B3:D3"/>
    <mergeCell ref="B4:B8"/>
    <mergeCell ref="C4:C6"/>
    <mergeCell ref="C7:C8"/>
    <mergeCell ref="B9:B14"/>
    <mergeCell ref="C9:C10"/>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5"/>
  <sheetViews>
    <sheetView workbookViewId="0">
      <selection activeCell="F19" sqref="F19"/>
    </sheetView>
  </sheetViews>
  <sheetFormatPr baseColWidth="10" defaultColWidth="11" defaultRowHeight="14.25" x14ac:dyDescent="0.2"/>
  <sheetData>
    <row r="2" spans="2:12" ht="15.75" x14ac:dyDescent="0.3">
      <c r="B2" s="100"/>
      <c r="C2" s="327" t="s">
        <v>226</v>
      </c>
      <c r="D2" s="327"/>
      <c r="E2" s="327"/>
      <c r="F2" s="327"/>
      <c r="G2" s="327"/>
      <c r="H2" s="327"/>
      <c r="I2" s="327"/>
      <c r="J2" s="327"/>
      <c r="K2" s="327"/>
      <c r="L2" s="327"/>
    </row>
    <row r="3" spans="2:12" ht="16.5" thickBot="1" x14ac:dyDescent="0.35">
      <c r="B3" s="100"/>
      <c r="C3" s="101"/>
      <c r="G3" s="100"/>
      <c r="H3" s="100"/>
      <c r="I3" s="100"/>
      <c r="J3" s="100"/>
      <c r="K3" s="100"/>
      <c r="L3" s="100"/>
    </row>
    <row r="4" spans="2:12" x14ac:dyDescent="0.2">
      <c r="B4" s="328" t="s">
        <v>227</v>
      </c>
      <c r="C4" s="329"/>
      <c r="D4" s="329" t="s">
        <v>228</v>
      </c>
      <c r="E4" s="329"/>
      <c r="F4" s="329"/>
      <c r="G4" s="329"/>
      <c r="H4" s="329" t="s">
        <v>229</v>
      </c>
      <c r="I4" s="329"/>
      <c r="J4" s="329"/>
      <c r="K4" s="329" t="s">
        <v>230</v>
      </c>
      <c r="L4" s="330"/>
    </row>
    <row r="5" spans="2:12" ht="17.25" thickBot="1" x14ac:dyDescent="0.35">
      <c r="B5" s="322"/>
      <c r="C5" s="323"/>
      <c r="D5" s="324"/>
      <c r="E5" s="324"/>
      <c r="F5" s="324"/>
      <c r="G5" s="324"/>
      <c r="H5" s="325"/>
      <c r="I5" s="325"/>
      <c r="J5" s="325"/>
      <c r="K5" s="325"/>
      <c r="L5" s="326"/>
    </row>
    <row r="6" spans="2:12" ht="16.5" x14ac:dyDescent="0.3">
      <c r="B6" s="100"/>
      <c r="C6" s="102"/>
      <c r="G6" s="100"/>
      <c r="H6" s="100"/>
      <c r="I6" s="100"/>
      <c r="J6" s="100"/>
      <c r="K6" s="100"/>
      <c r="L6" s="100"/>
    </row>
    <row r="7" spans="2:12" ht="17.25" thickBot="1" x14ac:dyDescent="0.35">
      <c r="B7" s="100"/>
      <c r="C7" s="102"/>
      <c r="G7" s="100"/>
      <c r="H7" s="100"/>
      <c r="I7" s="100"/>
      <c r="J7" s="100"/>
      <c r="K7" s="100"/>
      <c r="L7" s="100"/>
    </row>
    <row r="8" spans="2:12" x14ac:dyDescent="0.2">
      <c r="B8" s="331" t="s">
        <v>231</v>
      </c>
      <c r="C8" s="332"/>
      <c r="D8" s="332"/>
      <c r="E8" s="333"/>
      <c r="F8" s="331" t="s">
        <v>232</v>
      </c>
      <c r="G8" s="332"/>
      <c r="H8" s="332"/>
      <c r="I8" s="333"/>
      <c r="J8" s="331" t="s">
        <v>233</v>
      </c>
      <c r="K8" s="332"/>
      <c r="L8" s="333"/>
    </row>
    <row r="9" spans="2:12" ht="15.75" x14ac:dyDescent="0.3">
      <c r="B9" s="334"/>
      <c r="C9" s="335"/>
      <c r="D9" s="335"/>
      <c r="E9" s="336"/>
      <c r="F9" s="337"/>
      <c r="G9" s="338"/>
      <c r="H9" s="338"/>
      <c r="I9" s="339"/>
      <c r="J9" s="337"/>
      <c r="K9" s="338"/>
      <c r="L9" s="339"/>
    </row>
    <row r="10" spans="2:12" ht="15.75" x14ac:dyDescent="0.3">
      <c r="B10" s="334"/>
      <c r="C10" s="335"/>
      <c r="D10" s="335"/>
      <c r="E10" s="336"/>
      <c r="F10" s="337"/>
      <c r="G10" s="338"/>
      <c r="H10" s="338"/>
      <c r="I10" s="339"/>
      <c r="J10" s="337"/>
      <c r="K10" s="338"/>
      <c r="L10" s="339"/>
    </row>
    <row r="11" spans="2:12" ht="15.75" x14ac:dyDescent="0.3">
      <c r="B11" s="334"/>
      <c r="C11" s="335"/>
      <c r="D11" s="335"/>
      <c r="E11" s="336"/>
      <c r="F11" s="337"/>
      <c r="G11" s="338"/>
      <c r="H11" s="338"/>
      <c r="I11" s="339"/>
      <c r="J11" s="337"/>
      <c r="K11" s="338"/>
      <c r="L11" s="339"/>
    </row>
    <row r="12" spans="2:12" ht="15.75" x14ac:dyDescent="0.3">
      <c r="B12" s="334"/>
      <c r="C12" s="335"/>
      <c r="D12" s="335"/>
      <c r="E12" s="336"/>
      <c r="F12" s="337"/>
      <c r="G12" s="338"/>
      <c r="H12" s="338"/>
      <c r="I12" s="339"/>
      <c r="J12" s="337"/>
      <c r="K12" s="338"/>
      <c r="L12" s="339"/>
    </row>
    <row r="13" spans="2:12" x14ac:dyDescent="0.2">
      <c r="B13" s="340" t="s">
        <v>234</v>
      </c>
      <c r="C13" s="341"/>
      <c r="D13" s="341"/>
      <c r="E13" s="342"/>
      <c r="F13" s="340" t="s">
        <v>235</v>
      </c>
      <c r="G13" s="341"/>
      <c r="H13" s="341"/>
      <c r="I13" s="342"/>
      <c r="J13" s="340" t="s">
        <v>236</v>
      </c>
      <c r="K13" s="341"/>
      <c r="L13" s="342"/>
    </row>
    <row r="14" spans="2:12" x14ac:dyDescent="0.2">
      <c r="B14" s="340" t="s">
        <v>237</v>
      </c>
      <c r="C14" s="341"/>
      <c r="D14" s="341"/>
      <c r="E14" s="342"/>
      <c r="F14" s="340" t="s">
        <v>238</v>
      </c>
      <c r="G14" s="341"/>
      <c r="H14" s="341"/>
      <c r="I14" s="342"/>
      <c r="J14" s="340" t="s">
        <v>239</v>
      </c>
      <c r="K14" s="341"/>
      <c r="L14" s="342"/>
    </row>
    <row r="15" spans="2:12" ht="16.5" thickBot="1" x14ac:dyDescent="0.35">
      <c r="B15" s="343"/>
      <c r="C15" s="344"/>
      <c r="D15" s="344"/>
      <c r="E15" s="345"/>
      <c r="F15" s="346"/>
      <c r="G15" s="347"/>
      <c r="H15" s="347"/>
      <c r="I15" s="348"/>
      <c r="J15" s="343"/>
      <c r="K15" s="344"/>
      <c r="L15" s="345"/>
    </row>
  </sheetData>
  <mergeCells count="33">
    <mergeCell ref="B14:E14"/>
    <mergeCell ref="F14:I14"/>
    <mergeCell ref="J14:L14"/>
    <mergeCell ref="B15:E15"/>
    <mergeCell ref="F15:I15"/>
    <mergeCell ref="J15:L15"/>
    <mergeCell ref="B12:E12"/>
    <mergeCell ref="F12:I12"/>
    <mergeCell ref="J12:L12"/>
    <mergeCell ref="B13:E13"/>
    <mergeCell ref="F13:I13"/>
    <mergeCell ref="J13:L13"/>
    <mergeCell ref="B10:E10"/>
    <mergeCell ref="F10:I10"/>
    <mergeCell ref="J10:L10"/>
    <mergeCell ref="B11:E11"/>
    <mergeCell ref="F11:I11"/>
    <mergeCell ref="J11:L11"/>
    <mergeCell ref="B8:E8"/>
    <mergeCell ref="F8:I8"/>
    <mergeCell ref="J8:L8"/>
    <mergeCell ref="B9:E9"/>
    <mergeCell ref="F9:I9"/>
    <mergeCell ref="J9:L9"/>
    <mergeCell ref="B5:C5"/>
    <mergeCell ref="D5:G5"/>
    <mergeCell ref="H5:J5"/>
    <mergeCell ref="K5:L5"/>
    <mergeCell ref="C2:L2"/>
    <mergeCell ref="B4:C4"/>
    <mergeCell ref="D4:G4"/>
    <mergeCell ref="H4:J4"/>
    <mergeCell ref="K4:L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9"/>
  <sheetViews>
    <sheetView workbookViewId="0"/>
  </sheetViews>
  <sheetFormatPr baseColWidth="10" defaultColWidth="12.625" defaultRowHeight="15" customHeight="1" x14ac:dyDescent="0.2"/>
  <cols>
    <col min="1" max="26" width="9.375" customWidth="1"/>
  </cols>
  <sheetData>
    <row r="2" spans="2:5" ht="15" customHeight="1" x14ac:dyDescent="0.25">
      <c r="B2" s="80" t="s">
        <v>192</v>
      </c>
      <c r="E2" s="80" t="s">
        <v>193</v>
      </c>
    </row>
    <row r="3" spans="2:5" ht="15" customHeight="1" x14ac:dyDescent="0.25">
      <c r="B3" s="80" t="s">
        <v>194</v>
      </c>
      <c r="E3" s="80" t="s">
        <v>195</v>
      </c>
    </row>
    <row r="4" spans="2:5" ht="15" customHeight="1" x14ac:dyDescent="0.25">
      <c r="B4" s="80" t="s">
        <v>196</v>
      </c>
      <c r="E4" s="80" t="s">
        <v>197</v>
      </c>
    </row>
    <row r="5" spans="2:5" ht="15" customHeight="1" x14ac:dyDescent="0.25">
      <c r="B5" s="80" t="s">
        <v>198</v>
      </c>
    </row>
    <row r="8" spans="2:5" ht="15" customHeight="1" x14ac:dyDescent="0.25">
      <c r="B8" s="80" t="s">
        <v>199</v>
      </c>
    </row>
    <row r="9" spans="2:5" ht="15" customHeight="1" x14ac:dyDescent="0.25">
      <c r="B9" s="80" t="s">
        <v>200</v>
      </c>
    </row>
    <row r="10" spans="2:5" ht="15" customHeight="1" x14ac:dyDescent="0.25">
      <c r="B10" s="80" t="s">
        <v>201</v>
      </c>
    </row>
    <row r="13" spans="2:5" ht="15" customHeight="1" x14ac:dyDescent="0.25">
      <c r="B13" s="80" t="s">
        <v>202</v>
      </c>
    </row>
    <row r="14" spans="2:5" ht="15" customHeight="1" x14ac:dyDescent="0.25">
      <c r="B14" s="80" t="s">
        <v>203</v>
      </c>
    </row>
    <row r="15" spans="2:5" ht="15" customHeight="1" x14ac:dyDescent="0.25">
      <c r="B15" s="80" t="s">
        <v>204</v>
      </c>
    </row>
    <row r="16" spans="2:5" ht="15" customHeight="1" x14ac:dyDescent="0.25">
      <c r="B16" s="80" t="s">
        <v>205</v>
      </c>
    </row>
    <row r="17" spans="2:2" ht="15" customHeight="1" x14ac:dyDescent="0.25">
      <c r="B17" s="80" t="s">
        <v>206</v>
      </c>
    </row>
    <row r="18" spans="2:2" ht="15" customHeight="1" x14ac:dyDescent="0.25">
      <c r="B18" s="80" t="s">
        <v>207</v>
      </c>
    </row>
    <row r="19" spans="2:2" ht="15" customHeight="1" x14ac:dyDescent="0.25">
      <c r="B19" s="80" t="s">
        <v>208</v>
      </c>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Mapa final</vt:lpstr>
      <vt:lpstr>Intructivo</vt:lpstr>
      <vt:lpstr>Matriz Calor Inherente</vt:lpstr>
      <vt:lpstr>Matriz Calor Residual</vt:lpstr>
      <vt:lpstr>Tabla probabilidad</vt:lpstr>
      <vt:lpstr>Tabla Impacto</vt:lpstr>
      <vt:lpstr>Tabla Valoración controles</vt:lpstr>
      <vt:lpstr>CONTROL DE CAMBIOS</vt:lpstr>
      <vt:lpstr>Opciones Tratamiento</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Jesus Quiceno</cp:lastModifiedBy>
  <cp:lastPrinted>2023-11-30T22:01:40Z</cp:lastPrinted>
  <dcterms:created xsi:type="dcterms:W3CDTF">2020-03-24T23:12:47Z</dcterms:created>
  <dcterms:modified xsi:type="dcterms:W3CDTF">2025-06-16T20:59:49Z</dcterms:modified>
</cp:coreProperties>
</file>