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010"/>
  </bookViews>
  <sheets>
    <sheet name="Mapa final" sheetId="2" r:id="rId1"/>
    <sheet name="Intructivo" sheetId="1" r:id="rId2"/>
    <sheet name="Matriz Calor Inherente" sheetId="3" r:id="rId3"/>
    <sheet name="Matriz Calor Residual" sheetId="4" r:id="rId4"/>
    <sheet name="Tabla probabilidad" sheetId="5" r:id="rId5"/>
    <sheet name="Tabla Impacto" sheetId="6" r:id="rId6"/>
    <sheet name="Tabla Valoración controles" sheetId="7" r:id="rId7"/>
    <sheet name="CONTROL DE CAMBIOS" sheetId="10" state="hidden" r:id="rId8"/>
    <sheet name="Opciones Tratamiento" sheetId="8" state="hidden" r:id="rId9"/>
    <sheet name="Hoja1" sheetId="9" state="hidden" r:id="rId10"/>
  </sheets>
  <externalReferences>
    <externalReference r:id="rId1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<sst xmlns="http://schemas.openxmlformats.org/spreadsheetml/2006/main" count="371" uniqueCount="254">
  <si>
    <t>PROCESO PLANEACIÓN ESTRATÉGICA</t>
  </si>
  <si>
    <t>NOMBRE DE FORMATO:</t>
  </si>
  <si>
    <t>MAPA DE RIESGOS DE GESTIÓN</t>
  </si>
  <si>
    <t>FECHA</t>
  </si>
  <si>
    <t>VERSIÓN</t>
  </si>
  <si>
    <t>CÓDIGO</t>
  </si>
  <si>
    <t>PÁGINA</t>
  </si>
  <si>
    <t>02</t>
  </si>
  <si>
    <t>PE-F-055</t>
  </si>
  <si>
    <t>de</t>
  </si>
  <si>
    <t xml:space="preserve">Formato Mapa Riesgos </t>
  </si>
  <si>
    <t>Proceso/Subproceso:</t>
  </si>
  <si>
    <t>Seguridad, convivencia y control/  /   Control</t>
  </si>
  <si>
    <t>Objetivo:</t>
  </si>
  <si>
    <t>Garantizar el cumplimiento de las normas urbanísticas, ambientales, comerciales y de eventos  a través de
operativos y vistas oportunas de control preventivas y sancionatorias con el fin de que los sujetos de control cumplan con la norma.</t>
  </si>
  <si>
    <t>Alcance:</t>
  </si>
  <si>
    <t>Inicia con la recepción de PQRDS de la comunidad y detecciones realizadas por los grupos operativos, realizando visitas de 
control, sensibilización y monitoreo para el cumplimiento de los requerimientos, finalizando con la sanción, cierre preventivo, 
transitorio o permanente. 
Aplica para el control de establecimientos de comercio, control a EDS, control ambiental, control físico.</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</si>
  <si>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</si>
  <si>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</si>
  <si>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</si>
  <si>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</si>
  <si>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</si>
  <si>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</si>
  <si>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</si>
  <si>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</si>
  <si>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</si>
  <si>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</si>
  <si>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</si>
  <si>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</si>
  <si>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</si>
  <si>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</si>
  <si>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</si>
  <si>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</si>
  <si>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</si>
  <si>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</si>
  <si>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</si>
  <si>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</si>
  <si>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</si>
  <si>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</si>
  <si>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</si>
  <si>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</si>
  <si>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</si>
  <si>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Control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</si>
  <si>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</si>
  <si>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</si>
  <si>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</si>
  <si>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</si>
  <si>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</si>
  <si>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</si>
  <si>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</si>
  <si>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</si>
  <si>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</si>
  <si>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</si>
  <si>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</si>
  <si>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</si>
  <si>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</si>
  <si>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Económico y Reputacional</t>
  </si>
  <si>
    <t>Multa y sanción del ente regulador</t>
  </si>
  <si>
    <t xml:space="preserve">Expedición de permisos o resoluciones para la realización de eventos masivos y no masivos fuera de los requerimientos normativos legales vigentes. </t>
  </si>
  <si>
    <t>Posibilidad de Afectación Económica y reputacional debido a multas y sanciónes del ente regulador por expedición de resoluciones para la realización de eventos masivos y no masivos fuera de los requerimientos normativos legales vigentes.</t>
  </si>
  <si>
    <t>Ejecucion y Administracion de procesos</t>
  </si>
  <si>
    <t>El riesgo afecta la imagen de alguna área de la organización</t>
  </si>
  <si>
    <t>El Inspector de precios, pesas, medidas, rifas, juegos y espectáculos cada semana es el encargado de revisar cada uno de los documentos necesarios (lista de chequeo) para la aprobación del evento, De acuerdo al decreto 0909 del 14 de noviembre de 2013. Donde se emite la respectiva resolución de los eventos solicitad.</t>
  </si>
  <si>
    <t>Preventivo</t>
  </si>
  <si>
    <t>Manual</t>
  </si>
  <si>
    <t>Documentado</t>
  </si>
  <si>
    <t>Continua</t>
  </si>
  <si>
    <t>Con Registro</t>
  </si>
  <si>
    <t>Aceptar</t>
  </si>
  <si>
    <t>El Subsecretario de Control junto con el comité técnico de eventos se reúnen los días martes de cada semana para estudiar y dar aprobación a los eventos solicitados. Se deja acta de la reunion del personal que asistio a la reunion y se elabora oficio para la firma del secretario de gobierno para su aprobación.</t>
  </si>
  <si>
    <t>Automático</t>
  </si>
  <si>
    <t xml:space="preserve"> Sanción de entes de regulación</t>
  </si>
  <si>
    <t>Falta de control a la integridad  urbanistica,rural, ambiental,  comercial, Eventos  públicos y control a las estaciones de servicio.</t>
  </si>
  <si>
    <t>Posibilidad de afectación económica y reputacional debido a sanción de entes de regulación por falta de documentacion a la integridad urbanistica y rural, por el alto ruido en establecimientos de comercio (ambiental),  falta de documentacion para su legal funcionamiento en establecimientos comerciales  y de  eventos  públicos,  supervision  a las estaciones de servicio.</t>
  </si>
  <si>
    <t>El riesgo afecta la imagen de la entidad con algunos usuarios de relevancia frente al logro de los objetivos</t>
  </si>
  <si>
    <t>El Subsecretario de Control verifica permanentemente que se cumpla en cada una de las estrategias con los documentos requeridos para su legal funcionamiento, al momento de la visita por parte del personal de la Subsecretaria de Control  si incumplen con  alguno de ellos se procede al cierre de acuerdo al Código Nacional de Seguridad y Convivencia Ciudadana ley 1801 /2016.  los formato utilizados para la verificacion y seguimiento de este riesgo son: acta de visita (Codigo SCC-F-152), InformeTecnico (Codigo SCC-F-151) y Visitas de sensibilizacion (Codigo SCC-F-150), Control publicidad exterior(codigo SCC-F 099), Acta de compromiso (codigo SCC-F 053)Control emision de ruido (codigo SCC-F 098) y Recepcion de peticiones, quejas, reclamos y sugerencias (codigo SCC-F-104)</t>
  </si>
  <si>
    <t>El Subsecretario de Control verifica permanentemente que el personal a su cargo realice las visitas a cada una de las estaciones de servicio, para que la venta de combustible líquidos derivados del petróleo en pimpinas, tambores, barriles, pomas, canecas u otro tipo de recipientes corresponda al permiso solicitado y en los tiempos estipulados. El segumiento se realiza a  traves de los formatos estipulados para cada  procesos, los formatos utilizados son: 
Control esistencias diarias (Codigo SCC-F-045), Control Existencias  descargues (Codigo SCC-F-034), Acta de Verificacion de EDS (Codigo SCC-F-140), Informe Operativo (Codigo SCC-F-168), permisos de combustible.
De no ser así la autoridad competente actuara de acuerdo al decreto 0255 de 15 agosto 2019.</t>
  </si>
  <si>
    <r>
      <rPr>
        <b/>
        <sz val="11"/>
        <color rgb="FFE36C09"/>
        <rFont val="Century Gothic"/>
        <charset val="134"/>
      </rPr>
      <t xml:space="preserve">*Nota: </t>
    </r>
    <r>
      <rPr>
        <sz val="11"/>
        <color theme="1"/>
        <rFont val="Century Gothic"/>
        <charset val="134"/>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</si>
  <si>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</si>
  <si>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Mapa de Riesgos</t>
  </si>
  <si>
    <r>
      <rPr>
        <sz val="10"/>
        <color theme="1"/>
        <rFont val="Arial Narrow"/>
        <charset val="134"/>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 Alcaldía de Pasto frente a la estructuración de los mapas de riesgos, como herramienta fundamental frente a la gestión del riesgo, el presente formato desarrolla un esquema completo acorde con los contenidos metodológicos de la </t>
    </r>
    <r>
      <rPr>
        <b/>
        <sz val="10"/>
        <color rgb="FFE36C09"/>
        <rFont val="Arial Narrow"/>
        <charset val="134"/>
      </rPr>
      <t>Guía para la Administración del Riesgo y el diseño de controles V5</t>
    </r>
    <r>
      <rPr>
        <sz val="10"/>
        <color theme="1"/>
        <rFont val="Arial Narrow"/>
        <charset val="134"/>
      </rPr>
      <t>. El formato cuenta con celdas parametrizadas y permite contar con los respectivos mapas de calor para riesgo inherente y riesgo residual.</t>
    </r>
  </si>
  <si>
    <t>Orientaciones Generales</t>
  </si>
  <si>
    <r>
      <rPr>
        <sz val="11"/>
        <color theme="1"/>
        <rFont val="Arial Narrow"/>
        <charset val="134"/>
      </rPr>
      <t xml:space="preserve">Antes de iniciar con el diligenciamiento de la información en la matriz, se requiere haber avanzado en el análisis del </t>
    </r>
    <r>
      <rPr>
        <b/>
        <sz val="11"/>
        <color theme="1"/>
        <rFont val="Arial Narrow"/>
        <charset val="134"/>
      </rPr>
      <t>proceso, su objetivo, alcance, actividades clave</t>
    </r>
    <r>
      <rPr>
        <sz val="11"/>
        <color theme="1"/>
        <rFont val="Arial Narrow"/>
        <charset val="134"/>
      </rPr>
      <t xml:space="preserve">, considere los lineamientos establecidos en el </t>
    </r>
    <r>
      <rPr>
        <b/>
        <sz val="11"/>
        <color rgb="FFE36C09"/>
        <rFont val="Arial Narrow"/>
        <charset val="134"/>
      </rPr>
      <t>Paso 2: identificación del riesgo</t>
    </r>
    <r>
      <rPr>
        <sz val="11"/>
        <color theme="1"/>
        <rFont val="Arial Narrow"/>
        <charset val="134"/>
      </rPr>
      <t xml:space="preserve">, donde se explica ampliamente las bases para adelanter este análisis.
Así mismo, considere en el </t>
    </r>
    <r>
      <rPr>
        <b/>
        <sz val="11"/>
        <color rgb="FFE36C09"/>
        <rFont val="Arial Narrow"/>
        <charset val="134"/>
      </rPr>
      <t>Paso 3: valoración del riesgo</t>
    </r>
    <r>
      <rPr>
        <sz val="11"/>
        <color theme="1"/>
        <rFont val="Arial Narrow"/>
        <charset val="134"/>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charset val="134"/>
      </rPr>
      <t>NOTA:</t>
    </r>
    <r>
      <rPr>
        <sz val="11"/>
        <color theme="1"/>
        <rFont val="Arial Narrow"/>
        <charset val="134"/>
      </rPr>
      <t xml:space="preserve"> Si lo considera pertinente, es posible agregar hojas de trabajo adicionales al presente formato que permitan incluir la traza de estos análisis.</t>
    </r>
  </si>
  <si>
    <r>
      <rPr>
        <sz val="10"/>
        <color theme="1"/>
        <rFont val="Arial Narrow"/>
        <charset val="134"/>
      </rPr>
      <t xml:space="preserve">El archivo contiene las siguientes hojas:
-   </t>
    </r>
    <r>
      <rPr>
        <b/>
        <sz val="11"/>
        <color theme="1"/>
        <rFont val="Arial Narrow"/>
        <charset val="134"/>
      </rPr>
      <t>Hoja 1 Instructivo</t>
    </r>
    <r>
      <rPr>
        <sz val="10"/>
        <color theme="1"/>
        <rFont val="Arial Narrow"/>
        <charset val="134"/>
      </rPr>
      <t xml:space="preserve">
 -  </t>
    </r>
    <r>
      <rPr>
        <b/>
        <sz val="11"/>
        <color theme="1"/>
        <rFont val="Arial Narrow"/>
        <charset val="134"/>
      </rPr>
      <t xml:space="preserve">Hoja 2 Mapa Final: </t>
    </r>
    <r>
      <rPr>
        <sz val="10"/>
        <color theme="1"/>
        <rFont val="Arial Narrow"/>
        <charset val="134"/>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</si>
  <si>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</si>
  <si>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</si>
  <si>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</si>
  <si>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</si>
  <si>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</si>
  <si>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</si>
  <si>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</si>
  <si>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</si>
  <si>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</si>
  <si>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</si>
  <si>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</si>
  <si>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</si>
  <si>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</si>
  <si>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rPr>
        <sz val="9"/>
        <color theme="1"/>
        <rFont val="Arial Narrow"/>
        <charset val="134"/>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charset val="134"/>
      </rPr>
      <t>POSIBILIDAD DE + Impacto para la entidad (Qué) + Causa Inmediata (Cómo) + Causa Raíz (Por qué)</t>
    </r>
  </si>
  <si>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</si>
  <si>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</si>
  <si>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</si>
  <si>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</si>
  <si>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</si>
  <si>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</si>
  <si>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rPr>
        <sz val="9"/>
        <color theme="1"/>
        <rFont val="Arial Narrow"/>
        <charset val="134"/>
      </rPr>
      <t xml:space="preserve">Recuerde que el control se define como la medida que permite reducir o mitigar un riesgo. Defina el control (es) que atacan la causa raíz del riesgo, considere la estructura explicada en la guía: </t>
    </r>
    <r>
      <rPr>
        <b/>
        <sz val="9"/>
        <color rgb="FFE36C09"/>
        <rFont val="Arial Narrow"/>
        <charset val="134"/>
      </rPr>
      <t>Responsable de ejecutar el control + Acción + Complemento</t>
    </r>
  </si>
  <si>
    <t>Esta casilla no se diligencia, depende de la selección en la columna R.</t>
  </si>
  <si>
    <r>
      <rPr>
        <b/>
        <sz val="9"/>
        <color theme="1"/>
        <rFont val="Arial Narrow"/>
        <charset val="134"/>
      </rPr>
      <t xml:space="preserve">ATRIBUTOS EFICIENCIA
</t>
    </r>
    <r>
      <rPr>
        <sz val="9"/>
        <color theme="1"/>
        <rFont val="Arial Narrow"/>
        <charset val="134"/>
      </rPr>
      <t>Tipo</t>
    </r>
  </si>
  <si>
    <t>Utilice la lista de despligue que se encuentra parametrizada, le aparecerán las opciones: i)Preventivo, ii)Detectivo, iii)Correctivo.</t>
  </si>
  <si>
    <r>
      <rPr>
        <b/>
        <sz val="9"/>
        <color theme="1"/>
        <rFont val="Arial Narrow"/>
        <charset val="134"/>
      </rPr>
      <t xml:space="preserve">ATRIBUTOS EFICIENCIA
</t>
    </r>
    <r>
      <rPr>
        <sz val="9"/>
        <color theme="1"/>
        <rFont val="Arial Narrow"/>
        <charset val="134"/>
      </rPr>
      <t>Implementación</t>
    </r>
  </si>
  <si>
    <t>Utilice la lista de despligue que se encuentra parametrizada, le aparecerán las opciones: i)Automático, ii)Manual.</t>
  </si>
  <si>
    <r>
      <rPr>
        <b/>
        <sz val="9"/>
        <color theme="1"/>
        <rFont val="Arial Narrow"/>
        <charset val="134"/>
      </rPr>
      <t xml:space="preserve">ATRIBUTOS EFICIENCIA
</t>
    </r>
    <r>
      <rPr>
        <sz val="9"/>
        <color theme="1"/>
        <rFont val="Arial Narrow"/>
        <charset val="134"/>
      </rPr>
      <t>Calificación</t>
    </r>
  </si>
  <si>
    <t xml:space="preserve">La matriz automáticamente hará el cálculo para el control analizado (Columna T) </t>
  </si>
  <si>
    <r>
      <rPr>
        <b/>
        <sz val="9"/>
        <color theme="1"/>
        <rFont val="Arial Narrow"/>
        <charset val="134"/>
      </rPr>
      <t xml:space="preserve">ATRIBUTOS INFORMATIVOS
</t>
    </r>
    <r>
      <rPr>
        <sz val="9"/>
        <color theme="1"/>
        <rFont val="Arial Narrow"/>
        <charset val="134"/>
      </rPr>
      <t>Documentación</t>
    </r>
  </si>
  <si>
    <t>Utilice la lista de despligue que se encuentra parametrizada, le aparecerán las opciones: i)Documentado, ii)Sin documentar.</t>
  </si>
  <si>
    <r>
      <rPr>
        <b/>
        <sz val="9"/>
        <color theme="1"/>
        <rFont val="Arial Narrow"/>
        <charset val="134"/>
      </rPr>
      <t xml:space="preserve">ATRIBUTOS INFORMATIVOS
</t>
    </r>
    <r>
      <rPr>
        <sz val="9"/>
        <color theme="1"/>
        <rFont val="Arial Narrow"/>
        <charset val="134"/>
      </rPr>
      <t>Frecuencia</t>
    </r>
  </si>
  <si>
    <t>Utilice la lista de despligue que se encuentra parametrizada, le aparecerán las opciones: i)Continua, ii)Aleatoria.</t>
  </si>
  <si>
    <r>
      <rPr>
        <b/>
        <sz val="9"/>
        <color theme="1"/>
        <rFont val="Arial Narrow"/>
        <charset val="134"/>
      </rPr>
      <t xml:space="preserve">ATRIBUTOS INFORMATIVOS
</t>
    </r>
    <r>
      <rPr>
        <sz val="9"/>
        <color theme="1"/>
        <rFont val="Arial Narrow"/>
        <charset val="134"/>
      </rPr>
      <t>Registro</t>
    </r>
  </si>
  <si>
    <t>Utilice la lista de despligue que se encuentra parametrizada, le aparecerán las opciones: i)Con Registro, ii) Sin Registro.</t>
  </si>
  <si>
    <t>Evaluación del Nivel de Riesgo - Nivel de Riesgo Residual</t>
  </si>
  <si>
    <r>
      <rPr>
        <sz val="9"/>
        <color theme="1"/>
        <rFont val="Arial Narrow"/>
        <charset val="134"/>
      </rPr>
      <t>La matriz automáticamente hará el cálculo, acorde con el control o controles definidos con sus atributos analizados, lo que permitirá establecer el</t>
    </r>
    <r>
      <rPr>
        <b/>
        <sz val="9"/>
        <color rgb="FFE36C09"/>
        <rFont val="Arial Narrow"/>
        <charset val="134"/>
      </rPr>
      <t xml:space="preserve"> nivel de riesgo inherente</t>
    </r>
    <r>
      <rPr>
        <sz val="9"/>
        <color theme="1"/>
        <rFont val="Arial Narrow"/>
        <charset val="134"/>
      </rPr>
      <t xml:space="preserve"> (Columnas Y- Z- AA -AB- AC).</t>
    </r>
  </si>
  <si>
    <t>Utilice la lista de despligue que se encuentra parametrizada, le aparecerán las opciones: i)Aceptar, ii)Evitar, iii)Reducir (compartir), iv)Reducir (mitigar).</t>
  </si>
  <si>
    <r>
      <rPr>
        <b/>
        <sz val="9"/>
        <color theme="1"/>
        <rFont val="Arial Narrow"/>
        <charset val="134"/>
      </rPr>
      <t xml:space="preserve">Plan de Acción
</t>
    </r>
    <r>
      <rPr>
        <sz val="9"/>
        <color theme="1"/>
        <rFont val="Arial Narrow"/>
        <charset val="134"/>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</si>
  <si>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</si>
  <si>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Utilice la lista de despligue que se encuentra parametrizada, le aparecerán las opciones: i)Finalizado, ii)En curso, la selección en este caso dependerá de las acciones del plan que se hayan establecido en cada caso.</t>
  </si>
  <si>
    <r>
      <rPr>
        <sz val="10"/>
        <color theme="1"/>
        <rFont val="Arial Narrow"/>
        <charset val="134"/>
      </rPr>
      <t xml:space="preserve"> -</t>
    </r>
    <r>
      <rPr>
        <sz val="11"/>
        <color theme="1"/>
        <rFont val="Arial Narrow"/>
        <charset val="134"/>
      </rPr>
      <t xml:space="preserve"> </t>
    </r>
    <r>
      <rPr>
        <b/>
        <sz val="11"/>
        <color theme="1"/>
        <rFont val="Arial Narrow"/>
        <charset val="134"/>
      </rPr>
      <t xml:space="preserve"> Hoja 3 Matriz de Calor Inherente: </t>
    </r>
    <r>
      <rPr>
        <sz val="11"/>
        <color theme="1"/>
        <rFont val="Arial Narrow"/>
        <charset val="134"/>
      </rPr>
      <t xml:space="preserve"> En esta hoja, en la medida en que ese diligencia el Mapa Final, se verán reflejados los riesgos en su zona correspondiente. Esta hoja no se diligencia se genera de manera automática.</t>
    </r>
  </si>
  <si>
    <r>
      <rPr>
        <sz val="10"/>
        <color theme="1"/>
        <rFont val="Arial Narrow"/>
        <charset val="134"/>
      </rPr>
      <t xml:space="preserve"> -</t>
    </r>
    <r>
      <rPr>
        <sz val="11"/>
        <color theme="1"/>
        <rFont val="Arial Narrow"/>
        <charset val="134"/>
      </rPr>
      <t xml:space="preserve"> </t>
    </r>
    <r>
      <rPr>
        <b/>
        <sz val="11"/>
        <color theme="1"/>
        <rFont val="Arial Narrow"/>
        <charset val="134"/>
      </rPr>
      <t xml:space="preserve"> Hoja 4 Matriz de Calor Residual: </t>
    </r>
    <r>
      <rPr>
        <sz val="11"/>
        <color theme="1"/>
        <rFont val="Arial Narrow"/>
        <charset val="134"/>
      </rPr>
      <t>En esta hoja, en la medida en que ese diligencia el Mapa Final, se verán reflejados los riesgos en su zona correspondiente. Esta hoja no se diligencia se genera de manera automática.</t>
    </r>
  </si>
  <si>
    <r>
      <rPr>
        <sz val="10"/>
        <color theme="1"/>
        <rFont val="Arial Narrow"/>
        <charset val="134"/>
      </rPr>
      <t xml:space="preserve"> -</t>
    </r>
    <r>
      <rPr>
        <sz val="11"/>
        <color theme="1"/>
        <rFont val="Arial Narrow"/>
        <charset val="134"/>
      </rPr>
      <t xml:space="preserve"> </t>
    </r>
    <r>
      <rPr>
        <b/>
        <sz val="11"/>
        <color theme="1"/>
        <rFont val="Arial Narrow"/>
        <charset val="134"/>
      </rPr>
      <t xml:space="preserve"> Hoja 5 Tabla de probabilidad: </t>
    </r>
    <r>
      <rPr>
        <sz val="11"/>
        <color theme="1"/>
        <rFont val="Arial Narrow"/>
        <charset val="134"/>
      </rPr>
      <t>Tabla referente para todos los cálculos (no se diligencia)</t>
    </r>
  </si>
  <si>
    <r>
      <rPr>
        <sz val="10"/>
        <color theme="1"/>
        <rFont val="Arial Narrow"/>
        <charset val="134"/>
      </rPr>
      <t xml:space="preserve"> -</t>
    </r>
    <r>
      <rPr>
        <sz val="11"/>
        <color theme="1"/>
        <rFont val="Arial Narrow"/>
        <charset val="134"/>
      </rPr>
      <t xml:space="preserve"> </t>
    </r>
    <r>
      <rPr>
        <b/>
        <sz val="11"/>
        <color theme="1"/>
        <rFont val="Arial Narrow"/>
        <charset val="134"/>
      </rPr>
      <t xml:space="preserve"> Hoja 6 Tabla de Impacto: </t>
    </r>
    <r>
      <rPr>
        <sz val="11"/>
        <color theme="1"/>
        <rFont val="Arial Narrow"/>
        <charset val="134"/>
      </rPr>
      <t>Tabla referente para todos los cálculos (no se diligencia)</t>
    </r>
  </si>
  <si>
    <r>
      <rPr>
        <sz val="10"/>
        <color theme="1"/>
        <rFont val="Arial Narrow"/>
        <charset val="134"/>
      </rPr>
      <t xml:space="preserve"> -</t>
    </r>
    <r>
      <rPr>
        <sz val="11"/>
        <color theme="1"/>
        <rFont val="Arial Narrow"/>
        <charset val="134"/>
      </rPr>
      <t xml:space="preserve"> </t>
    </r>
    <r>
      <rPr>
        <b/>
        <sz val="11"/>
        <color theme="1"/>
        <rFont val="Arial Narrow"/>
        <charset val="134"/>
      </rPr>
      <t xml:space="preserve"> Hoja 7 Tabla de Valoración de Controles: </t>
    </r>
    <r>
      <rPr>
        <sz val="11"/>
        <color theme="1"/>
        <rFont val="Arial Narrow"/>
        <charset val="134"/>
      </rPr>
      <t>Tabla referente para todos los cálculos (no se diligencia)</t>
    </r>
  </si>
  <si>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</si>
  <si>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</si>
  <si>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</si>
  <si>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</si>
  <si>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</si>
  <si>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</si>
  <si>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</si>
  <si>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</si>
  <si>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</si>
  <si>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</si>
  <si>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</si>
  <si>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</si>
  <si>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</si>
  <si>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</si>
  <si>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</si>
  <si>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</si>
  <si>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</si>
  <si>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</si>
  <si>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</si>
  <si>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</si>
  <si>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</si>
  <si>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</si>
  <si>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</si>
  <si>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</si>
  <si>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</si>
  <si>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</si>
  <si>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</si>
  <si>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</si>
  <si>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</si>
  <si>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</si>
  <si>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</si>
  <si>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</si>
  <si>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</si>
  <si>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</si>
  <si>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</si>
  <si>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</si>
  <si>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</si>
  <si>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</si>
  <si>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</si>
  <si>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</si>
  <si>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</si>
  <si>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algunas partes interesadas de relevancia frente al logro de los objetivos</t>
  </si>
  <si>
    <t>Mayor</t>
  </si>
  <si>
    <t>Mayor 80%</t>
  </si>
  <si>
    <t xml:space="preserve">Entre 100 y 500 SMLMV </t>
  </si>
  <si>
    <t>El riesgo afecta la imagen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</si>
  <si>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</si>
  <si>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</si>
  <si>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</si>
  <si>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</si>
  <si>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</si>
  <si>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</si>
  <si>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</si>
  <si>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</si>
  <si>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</si>
  <si>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</si>
  <si>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</si>
  <si>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</si>
  <si>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</si>
  <si>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</si>
  <si>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</si>
  <si>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</si>
  <si>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</si>
  <si>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</si>
  <si>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</si>
  <si>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</si>
  <si>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El riesgo afecta la imagen de de la entidad con efecto publicitario sostenido a nivel de sector administrativo, nivel departamental o municipal</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</si>
  <si>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</si>
  <si>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</si>
  <si>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</si>
  <si>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</si>
  <si>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</si>
  <si>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</si>
  <si>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</si>
  <si>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</si>
  <si>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</si>
  <si>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</si>
  <si>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</si>
  <si>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</si>
  <si>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</si>
  <si>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</si>
  <si>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charset val="134"/>
      </rPr>
      <t>*</t>
    </r>
    <r>
      <rPr>
        <b/>
        <sz val="12"/>
        <color rgb="FF000000"/>
        <rFont val="Arial Narrow"/>
        <charset val="134"/>
      </rPr>
      <t>Atributos de</t>
    </r>
    <r>
      <rPr>
        <b/>
        <sz val="12"/>
        <color rgb="FFE36C09"/>
        <rFont val="Arial Narrow"/>
        <charset val="134"/>
      </rPr>
      <t xml:space="preserve"> </t>
    </r>
    <r>
      <rPr>
        <b/>
        <sz val="12"/>
        <color rgb="FF000000"/>
        <rFont val="Arial Narrow"/>
        <charset val="134"/>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</si>
  <si>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</si>
  <si>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</si>
  <si>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</si>
  <si>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</si>
  <si>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</si>
  <si>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</si>
  <si>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</si>
  <si>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</si>
  <si>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</si>
  <si>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</si>
  <si>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charset val="134"/>
      </rPr>
      <t>*Nota 1:</t>
    </r>
    <r>
      <rPr>
        <sz val="12"/>
        <color theme="1"/>
        <rFont val="Arial Narrow"/>
        <charset val="134"/>
      </rPr>
      <t xml:space="preserve"> Los atributos de formalización se recogerán de manera informativa, con el fin de conocer el entorno del control y complementar el análisis con elementos cualitativos; éstos no tienen una incidencia directa en su efectividad. </t>
    </r>
  </si>
  <si>
    <r>
      <rPr>
        <b/>
        <sz val="11"/>
        <color theme="1"/>
        <rFont val="Century Gothic"/>
        <charset val="134"/>
      </rPr>
      <t>1.</t>
    </r>
    <r>
      <rPr>
        <b/>
        <sz val="7"/>
        <color theme="1"/>
        <rFont val="Times New Roman"/>
        <charset val="134"/>
      </rPr>
      <t xml:space="preserve">    </t>
    </r>
    <r>
      <rPr>
        <b/>
        <sz val="11"/>
        <color theme="1"/>
        <rFont val="Century Gothic"/>
        <charset val="134"/>
      </rPr>
      <t>CONTROL DE CAMBIOS</t>
    </r>
  </si>
  <si>
    <t>No. REVISIÓN</t>
  </si>
  <si>
    <t>DESCRIPCIÓN DE LA MODIFICACIÓN</t>
  </si>
  <si>
    <t>FECHA DE APROBACIÓN</t>
  </si>
  <si>
    <t>VERSIÓN ACTUALIZADA</t>
  </si>
  <si>
    <t>Elaborado por:</t>
  </si>
  <si>
    <t>Revisado por:</t>
  </si>
  <si>
    <t>Aprobado por:</t>
  </si>
  <si>
    <t>Maria Alejandra Egas</t>
  </si>
  <si>
    <t>Wilson Alexander Checa</t>
  </si>
  <si>
    <t>Marcela Sofia Peña Tupaz</t>
  </si>
  <si>
    <t>Contratista MIPG</t>
  </si>
  <si>
    <t>Coordinador Contratista MIPG</t>
  </si>
  <si>
    <t>Líder Proceso de Planeación Estrategica</t>
  </si>
  <si>
    <t>Económico</t>
  </si>
  <si>
    <t>Evitar</t>
  </si>
  <si>
    <t>Reputacional</t>
  </si>
  <si>
    <t>Reducir (compartir)</t>
  </si>
  <si>
    <t>Reducir (mitigar)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</si>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</sst>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0%"/>
  </numFmts>
  <fonts count="82">
    <font>
      <sz val="11"/>
      <color theme="1"/>
      <name val="Arial"/>
      <charset val="134"/>
    </font>
    <font>
      <sz val="10"/>
      <color rgb="FF000000"/>
      <name val="Arial Narrow"/>
      <charset val="134"/>
    </font>
    <font>
      <sz val="10"/>
      <color theme="1"/>
      <name val="Calibri"/>
      <charset val="134"/>
    </font>
    <font>
      <sz val="11"/>
      <color theme="1"/>
      <name val="Calibri"/>
      <charset val="134"/>
    </font>
    <font>
      <sz val="9"/>
      <color theme="1"/>
      <name val="Century Gothic"/>
      <charset val="134"/>
    </font>
    <font>
      <b/>
      <sz val="11"/>
      <color theme="1"/>
      <name val="Century Gothic"/>
      <charset val="134"/>
    </font>
    <font>
      <b/>
      <sz val="10"/>
      <color theme="1"/>
      <name val="Century Gothic"/>
      <charset val="134"/>
    </font>
    <font>
      <sz val="11"/>
      <color theme="1"/>
      <name val="Century Gothic"/>
      <charset val="134"/>
    </font>
    <font>
      <sz val="8"/>
      <color theme="1"/>
      <name val="Century Gothic"/>
      <charset val="134"/>
    </font>
    <font>
      <b/>
      <sz val="14"/>
      <color rgb="FF000000"/>
      <name val="Arial Narrow"/>
      <charset val="134"/>
    </font>
    <font>
      <sz val="11"/>
      <name val="Arial"/>
      <charset val="134"/>
    </font>
    <font>
      <sz val="12"/>
      <color theme="1"/>
      <name val="Calibri"/>
      <charset val="134"/>
    </font>
    <font>
      <b/>
      <sz val="12"/>
      <color rgb="FF000000"/>
      <name val="Arial Narrow"/>
      <charset val="134"/>
    </font>
    <font>
      <sz val="12"/>
      <color rgb="FF000000"/>
      <name val="Arial Narrow"/>
      <charset val="134"/>
    </font>
    <font>
      <sz val="12"/>
      <color theme="1"/>
      <name val="Arial Narrow"/>
      <charset val="134"/>
    </font>
    <font>
      <b/>
      <sz val="26"/>
      <color theme="1"/>
      <name val="Arial Narrow"/>
      <charset val="134"/>
    </font>
    <font>
      <sz val="24"/>
      <color theme="1"/>
      <name val="Arial"/>
      <charset val="134"/>
    </font>
    <font>
      <b/>
      <sz val="24"/>
      <color rgb="FF000000"/>
      <name val="Arial Narrow"/>
      <charset val="134"/>
    </font>
    <font>
      <sz val="11"/>
      <color theme="0"/>
      <name val="Calibri"/>
      <charset val="134"/>
    </font>
    <font>
      <sz val="26"/>
      <color rgb="FF000000"/>
      <name val="Arial Narrow"/>
      <charset val="134"/>
    </font>
    <font>
      <sz val="26"/>
      <color rgb="FFFFFFFF"/>
      <name val="Arial Narrow"/>
      <charset val="134"/>
    </font>
    <font>
      <sz val="16"/>
      <color rgb="FF000000"/>
      <name val="Arial Narrow"/>
      <charset val="134"/>
    </font>
    <font>
      <b/>
      <sz val="11"/>
      <color theme="1"/>
      <name val="Arial Narrow"/>
      <charset val="134"/>
    </font>
    <font>
      <sz val="16"/>
      <color rgb="FFFF0000"/>
      <name val="Arial Narrow"/>
      <charset val="134"/>
    </font>
    <font>
      <sz val="16"/>
      <color rgb="FFFF0000"/>
      <name val="Calibri"/>
      <charset val="134"/>
    </font>
    <font>
      <sz val="11"/>
      <color rgb="FFFF0000"/>
      <name val="Calibri"/>
      <charset val="134"/>
    </font>
    <font>
      <sz val="11"/>
      <color rgb="FF030303"/>
      <name val="Arial"/>
      <charset val="134"/>
    </font>
    <font>
      <b/>
      <sz val="18"/>
      <color theme="1"/>
      <name val="Arial Narrow"/>
      <charset val="134"/>
    </font>
    <font>
      <sz val="18"/>
      <color theme="1"/>
      <name val="Arial"/>
      <charset val="134"/>
    </font>
    <font>
      <b/>
      <sz val="20"/>
      <color rgb="FF000000"/>
      <name val="Arial Narrow"/>
      <charset val="134"/>
    </font>
    <font>
      <sz val="20"/>
      <color rgb="FF000000"/>
      <name val="Arial Narrow"/>
      <charset val="134"/>
    </font>
    <font>
      <sz val="20"/>
      <color rgb="FFFFFFFF"/>
      <name val="Arial Narrow"/>
      <charset val="134"/>
    </font>
    <font>
      <sz val="24"/>
      <color theme="1"/>
      <name val="Arial Narrow"/>
      <charset val="134"/>
    </font>
    <font>
      <b/>
      <sz val="40"/>
      <color rgb="FF000000"/>
      <name val="Calibri"/>
      <charset val="134"/>
    </font>
    <font>
      <b/>
      <sz val="20"/>
      <color theme="1"/>
      <name val="Calibri"/>
      <charset val="134"/>
    </font>
    <font>
      <b/>
      <sz val="12"/>
      <color rgb="FF000000"/>
      <name val="Calibri"/>
      <charset val="134"/>
    </font>
    <font>
      <b/>
      <sz val="18"/>
      <color rgb="FF000000"/>
      <name val="Calibri"/>
      <charset val="134"/>
    </font>
    <font>
      <b/>
      <sz val="24"/>
      <color rgb="FF000000"/>
      <name val="Calibri"/>
      <charset val="134"/>
    </font>
    <font>
      <b/>
      <sz val="22"/>
      <color theme="1"/>
      <name val="Arial Narrow"/>
      <charset val="134"/>
    </font>
    <font>
      <sz val="28"/>
      <color theme="1"/>
      <name val="Calibri"/>
      <charset val="134"/>
    </font>
    <font>
      <b/>
      <sz val="28"/>
      <color rgb="FF000000"/>
      <name val="Calibri"/>
      <charset val="134"/>
    </font>
    <font>
      <b/>
      <sz val="36"/>
      <color rgb="FF000000"/>
      <name val="Calibri"/>
      <charset val="134"/>
    </font>
    <font>
      <b/>
      <sz val="14"/>
      <color theme="1"/>
      <name val="Arial Narrow"/>
      <charset val="134"/>
    </font>
    <font>
      <sz val="10"/>
      <color theme="1"/>
      <name val="Arial Narrow"/>
      <charset val="134"/>
    </font>
    <font>
      <b/>
      <u/>
      <sz val="11"/>
      <color theme="1"/>
      <name val="Arial Narrow"/>
      <charset val="134"/>
    </font>
    <font>
      <sz val="11"/>
      <color theme="1"/>
      <name val="Arial Narrow"/>
      <charset val="134"/>
    </font>
    <font>
      <b/>
      <sz val="10"/>
      <color theme="1"/>
      <name val="Arial Narrow"/>
      <charset val="134"/>
    </font>
    <font>
      <b/>
      <sz val="9"/>
      <color theme="1"/>
      <name val="Arial Narrow"/>
      <charset val="134"/>
    </font>
    <font>
      <sz val="9"/>
      <color theme="1"/>
      <name val="Arial Narrow"/>
      <charset val="134"/>
    </font>
    <font>
      <b/>
      <sz val="18"/>
      <color theme="1"/>
      <name val="Century Gothic"/>
      <charset val="134"/>
    </font>
    <font>
      <sz val="18"/>
      <color theme="1"/>
      <name val="Century Gothic"/>
      <charset val="134"/>
    </font>
    <font>
      <b/>
      <sz val="12"/>
      <color theme="1"/>
      <name val="Century Gothic"/>
      <charset val="134"/>
    </font>
    <font>
      <sz val="12"/>
      <color theme="1"/>
      <name val="Century Gothic"/>
      <charset val="134"/>
    </font>
    <font>
      <sz val="11"/>
      <name val="Century Gothic"/>
      <charset val="134"/>
    </font>
    <font>
      <sz val="14"/>
      <color theme="1"/>
      <name val="Century Gothic"/>
      <charset val="134"/>
    </font>
    <font>
      <sz val="10"/>
      <color theme="1"/>
      <name val="Century Gothic"/>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9"/>
      <color rgb="FFE36C09"/>
      <name val="Arial Narrow"/>
      <charset val="134"/>
    </font>
    <font>
      <b/>
      <sz val="11"/>
      <color rgb="FFE36C09"/>
      <name val="Arial Narrow"/>
      <charset val="134"/>
    </font>
    <font>
      <b/>
      <sz val="10"/>
      <color rgb="FFE36C09"/>
      <name val="Arial Narrow"/>
      <charset val="134"/>
    </font>
    <font>
      <b/>
      <sz val="11"/>
      <color rgb="FFE36C09"/>
      <name val="Century Gothic"/>
      <charset val="134"/>
    </font>
    <font>
      <b/>
      <sz val="12"/>
      <color rgb="FFE36C09"/>
      <name val="Arial Narrow"/>
      <charset val="134"/>
    </font>
    <font>
      <b/>
      <sz val="7"/>
      <color theme="1"/>
      <name val="Times New Roman"/>
      <charset val="134"/>
    </font>
  </fonts>
  <fills count="48">
    <fill>
      <patternFill patternType="none"/>
    </fill>
    <fill>
      <patternFill patternType="gray125"/>
    </fill>
    <fill>
      <patternFill patternType="solid">
        <fgColor rgb="FFFDE9D9"/>
        <bgColor rgb="FFFDE9D9"/>
      </patternFill>
    </fill>
    <fill>
      <patternFill patternType="solid">
        <fgColor theme="0"/>
        <bgColor theme="0"/>
      </patternFill>
    </fill>
    <fill>
      <patternFill patternType="solid">
        <fgColor rgb="FFBFBFBF"/>
        <bgColor rgb="FFBFBFBF"/>
      </patternFill>
    </fill>
    <fill>
      <patternFill patternType="solid">
        <fgColor rgb="FF92D050"/>
        <bgColor rgb="FF92D050"/>
      </patternFill>
    </fill>
    <fill>
      <patternFill patternType="solid">
        <fgColor rgb="FF00B050"/>
        <bgColor rgb="FF00B050"/>
      </patternFill>
    </fill>
    <fill>
      <patternFill patternType="solid">
        <fgColor rgb="FFFFFF66"/>
        <bgColor rgb="FFFFFF66"/>
      </patternFill>
    </fill>
    <fill>
      <patternFill patternType="solid">
        <fgColor rgb="FFFFFF00"/>
        <bgColor indexed="64"/>
      </patternFill>
    </fill>
    <fill>
      <patternFill patternType="solid">
        <fgColor rgb="FFFFC000"/>
        <bgColor rgb="FFFFC000"/>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FFFF00"/>
        <bgColor rgb="FFFFFF00"/>
      </patternFill>
    </fill>
    <fill>
      <patternFill patternType="solid">
        <fgColor rgb="FFC00000"/>
        <bgColor rgb="FFC00000"/>
      </patternFill>
    </fill>
    <fill>
      <patternFill patternType="solid">
        <fgColor rgb="FFFABF8F"/>
        <bgColor rgb="FFFABF8F"/>
      </patternFill>
    </fill>
    <fill>
      <patternFill patternType="solid">
        <fgColor rgb="FFFBD4B4"/>
        <bgColor rgb="FFFBD4B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8">
    <border>
      <left/>
      <right/>
      <top/>
      <bottom/>
      <diagonal/>
    </border>
    <border>
      <left style="dotted">
        <color rgb="FFF79646"/>
      </left>
      <right style="dotted">
        <color rgb="FFF79646"/>
      </right>
      <top style="dotted">
        <color rgb="FFF79646"/>
      </top>
      <bottom style="dotted">
        <color rgb="FFF79646"/>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dotted">
        <color rgb="FFF79646"/>
      </left>
      <right style="dotted">
        <color rgb="FFF79646"/>
      </right>
      <top/>
      <bottom style="dotted">
        <color rgb="FFF79646"/>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dotted">
        <color rgb="FFE36C09"/>
      </left>
      <right/>
      <top style="dotted">
        <color rgb="FFE36C09"/>
      </top>
      <bottom style="dotted">
        <color rgb="FFE36C09"/>
      </bottom>
      <diagonal/>
    </border>
    <border>
      <left/>
      <right/>
      <top style="dotted">
        <color rgb="FFE36C09"/>
      </top>
      <bottom style="dotted">
        <color rgb="FFE36C09"/>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style="dotted">
        <color rgb="FFE36C09"/>
      </right>
      <top/>
      <bottom style="dotted">
        <color rgb="FFE36C09"/>
      </bottom>
      <diagonal/>
    </border>
    <border>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56" fillId="0" borderId="0" applyFont="0" applyFill="0" applyBorder="0" applyAlignment="0" applyProtection="0">
      <alignment vertical="center"/>
    </xf>
    <xf numFmtId="44" fontId="56" fillId="0" borderId="0" applyFont="0" applyFill="0" applyBorder="0" applyAlignment="0" applyProtection="0">
      <alignment vertical="center"/>
    </xf>
    <xf numFmtId="9" fontId="56" fillId="0" borderId="0" applyFont="0" applyFill="0" applyBorder="0" applyAlignment="0" applyProtection="0">
      <alignment vertical="center"/>
    </xf>
    <xf numFmtId="177" fontId="56" fillId="0" borderId="0" applyFont="0" applyFill="0" applyBorder="0" applyAlignment="0" applyProtection="0">
      <alignment vertical="center"/>
    </xf>
    <xf numFmtId="42" fontId="56" fillId="0" borderId="0" applyFon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6" fillId="17" borderId="90" applyNumberFormat="0" applyFon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91" applyNumberFormat="0" applyFill="0" applyAlignment="0" applyProtection="0">
      <alignment vertical="center"/>
    </xf>
    <xf numFmtId="0" fontId="63" fillId="0" borderId="91" applyNumberFormat="0" applyFill="0" applyAlignment="0" applyProtection="0">
      <alignment vertical="center"/>
    </xf>
    <xf numFmtId="0" fontId="64" fillId="0" borderId="92" applyNumberFormat="0" applyFill="0" applyAlignment="0" applyProtection="0">
      <alignment vertical="center"/>
    </xf>
    <xf numFmtId="0" fontId="64" fillId="0" borderId="0" applyNumberFormat="0" applyFill="0" applyBorder="0" applyAlignment="0" applyProtection="0">
      <alignment vertical="center"/>
    </xf>
    <xf numFmtId="0" fontId="65" fillId="18" borderId="93" applyNumberFormat="0" applyAlignment="0" applyProtection="0">
      <alignment vertical="center"/>
    </xf>
    <xf numFmtId="0" fontId="66" fillId="19" borderId="94" applyNumberFormat="0" applyAlignment="0" applyProtection="0">
      <alignment vertical="center"/>
    </xf>
    <xf numFmtId="0" fontId="67" fillId="19" borderId="93" applyNumberFormat="0" applyAlignment="0" applyProtection="0">
      <alignment vertical="center"/>
    </xf>
    <xf numFmtId="0" fontId="68" fillId="20" borderId="95" applyNumberFormat="0" applyAlignment="0" applyProtection="0">
      <alignment vertical="center"/>
    </xf>
    <xf numFmtId="0" fontId="69" fillId="0" borderId="96" applyNumberFormat="0" applyFill="0" applyAlignment="0" applyProtection="0">
      <alignment vertical="center"/>
    </xf>
    <xf numFmtId="0" fontId="70" fillId="0" borderId="97" applyNumberFormat="0" applyFill="0" applyAlignment="0" applyProtection="0">
      <alignment vertical="center"/>
    </xf>
    <xf numFmtId="0" fontId="71" fillId="21" borderId="0" applyNumberFormat="0" applyBorder="0" applyAlignment="0" applyProtection="0">
      <alignment vertical="center"/>
    </xf>
    <xf numFmtId="0" fontId="72" fillId="22" borderId="0" applyNumberFormat="0" applyBorder="0" applyAlignment="0" applyProtection="0">
      <alignment vertical="center"/>
    </xf>
    <xf numFmtId="0" fontId="73" fillId="23" borderId="0" applyNumberFormat="0" applyBorder="0" applyAlignment="0" applyProtection="0">
      <alignment vertical="center"/>
    </xf>
    <xf numFmtId="0" fontId="74" fillId="24" borderId="0" applyNumberFormat="0" applyBorder="0" applyAlignment="0" applyProtection="0">
      <alignment vertical="center"/>
    </xf>
    <xf numFmtId="0" fontId="75" fillId="25" borderId="0" applyNumberFormat="0" applyBorder="0" applyAlignment="0" applyProtection="0">
      <alignment vertical="center"/>
    </xf>
    <xf numFmtId="0" fontId="75" fillId="26" borderId="0" applyNumberFormat="0" applyBorder="0" applyAlignment="0" applyProtection="0">
      <alignment vertical="center"/>
    </xf>
    <xf numFmtId="0" fontId="74" fillId="27" borderId="0" applyNumberFormat="0" applyBorder="0" applyAlignment="0" applyProtection="0">
      <alignment vertical="center"/>
    </xf>
    <xf numFmtId="0" fontId="74" fillId="28" borderId="0" applyNumberFormat="0" applyBorder="0" applyAlignment="0" applyProtection="0">
      <alignment vertical="center"/>
    </xf>
    <xf numFmtId="0" fontId="75" fillId="29" borderId="0" applyNumberFormat="0" applyBorder="0" applyAlignment="0" applyProtection="0">
      <alignment vertical="center"/>
    </xf>
    <xf numFmtId="0" fontId="75" fillId="30" borderId="0" applyNumberFormat="0" applyBorder="0" applyAlignment="0" applyProtection="0">
      <alignment vertical="center"/>
    </xf>
    <xf numFmtId="0" fontId="74" fillId="31" borderId="0" applyNumberFormat="0" applyBorder="0" applyAlignment="0" applyProtection="0">
      <alignment vertical="center"/>
    </xf>
    <xf numFmtId="0" fontId="74" fillId="32" borderId="0" applyNumberFormat="0" applyBorder="0" applyAlignment="0" applyProtection="0">
      <alignment vertical="center"/>
    </xf>
    <xf numFmtId="0" fontId="75" fillId="33" borderId="0" applyNumberFormat="0" applyBorder="0" applyAlignment="0" applyProtection="0">
      <alignment vertical="center"/>
    </xf>
    <xf numFmtId="0" fontId="75" fillId="34" borderId="0" applyNumberFormat="0" applyBorder="0" applyAlignment="0" applyProtection="0">
      <alignment vertical="center"/>
    </xf>
    <xf numFmtId="0" fontId="74" fillId="35" borderId="0" applyNumberFormat="0" applyBorder="0" applyAlignment="0" applyProtection="0">
      <alignment vertical="center"/>
    </xf>
    <xf numFmtId="0" fontId="74" fillId="36" borderId="0" applyNumberFormat="0" applyBorder="0" applyAlignment="0" applyProtection="0">
      <alignment vertical="center"/>
    </xf>
    <xf numFmtId="0" fontId="75" fillId="37" borderId="0" applyNumberFormat="0" applyBorder="0" applyAlignment="0" applyProtection="0">
      <alignment vertical="center"/>
    </xf>
    <xf numFmtId="0" fontId="75" fillId="38" borderId="0" applyNumberFormat="0" applyBorder="0" applyAlignment="0" applyProtection="0">
      <alignment vertical="center"/>
    </xf>
    <xf numFmtId="0" fontId="74" fillId="39" borderId="0" applyNumberFormat="0" applyBorder="0" applyAlignment="0" applyProtection="0">
      <alignment vertical="center"/>
    </xf>
    <xf numFmtId="0" fontId="74" fillId="40" borderId="0" applyNumberFormat="0" applyBorder="0" applyAlignment="0" applyProtection="0">
      <alignment vertical="center"/>
    </xf>
    <xf numFmtId="0" fontId="75" fillId="41" borderId="0" applyNumberFormat="0" applyBorder="0" applyAlignment="0" applyProtection="0">
      <alignment vertical="center"/>
    </xf>
    <xf numFmtId="0" fontId="75" fillId="42" borderId="0" applyNumberFormat="0" applyBorder="0" applyAlignment="0" applyProtection="0">
      <alignment vertical="center"/>
    </xf>
    <xf numFmtId="0" fontId="74" fillId="43" borderId="0" applyNumberFormat="0" applyBorder="0" applyAlignment="0" applyProtection="0">
      <alignment vertical="center"/>
    </xf>
    <xf numFmtId="0" fontId="74" fillId="44" borderId="0" applyNumberFormat="0" applyBorder="0" applyAlignment="0" applyProtection="0">
      <alignment vertical="center"/>
    </xf>
    <xf numFmtId="0" fontId="75" fillId="45" borderId="0" applyNumberFormat="0" applyBorder="0" applyAlignment="0" applyProtection="0">
      <alignment vertical="center"/>
    </xf>
    <xf numFmtId="0" fontId="75" fillId="46" borderId="0" applyNumberFormat="0" applyBorder="0" applyAlignment="0" applyProtection="0">
      <alignment vertical="center"/>
    </xf>
    <xf numFmtId="0" fontId="74" fillId="47" borderId="0" applyNumberFormat="0" applyBorder="0" applyAlignment="0" applyProtection="0">
      <alignment vertical="center"/>
    </xf>
  </cellStyleXfs>
  <cellXfs count="311">
    <xf numFmtId="0" fontId="0" fillId="0" borderId="0" xfId="0"/>
    <xf numFmtId="0" fontId="1" fillId="0" borderId="1" xfId="0" applyFont="1" applyBorder="1" applyAlignment="1">
      <alignment horizontal="left" vertical="center" wrapText="1" readingOrder="1"/>
    </xf>
    <xf numFmtId="0" fontId="2" fillId="0" borderId="0" xfId="0" applyFont="1"/>
    <xf numFmtId="0" fontId="3" fillId="0" borderId="0" xfId="0" applyFont="1"/>
    <xf numFmtId="0" fontId="4" fillId="0" borderId="0" xfId="0" applyFont="1"/>
    <xf numFmtId="0" fontId="5" fillId="0" borderId="0" xfId="0" applyFont="1" applyAlignment="1">
      <alignment horizontal="center" vertical="center"/>
    </xf>
    <xf numFmtId="0" fontId="6" fillId="0" borderId="0" xfId="0" applyFont="1" applyAlignment="1">
      <alignment horizontal="left" vertical="center" indent="5"/>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4" xfId="0" applyFont="1" applyBorder="1"/>
    <xf numFmtId="0" fontId="4" fillId="0" borderId="5" xfId="0" applyFont="1" applyBorder="1"/>
    <xf numFmtId="0" fontId="7" fillId="0" borderId="5" xfId="0" applyFont="1" applyBorder="1" applyAlignment="1">
      <alignment horizontal="justify" vertical="center" wrapText="1"/>
    </xf>
    <xf numFmtId="0" fontId="7" fillId="0" borderId="5" xfId="0" applyFont="1" applyBorder="1" applyAlignment="1">
      <alignment horizontal="center" vertical="center" wrapText="1"/>
    </xf>
    <xf numFmtId="0" fontId="7" fillId="0" borderId="0" xfId="0" applyFont="1" applyAlignment="1">
      <alignment vertical="center"/>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8" xfId="0" applyFont="1" applyBorder="1" applyAlignment="1">
      <alignment horizontal="justify" vertical="center" wrapText="1"/>
    </xf>
    <xf numFmtId="0" fontId="4" fillId="0" borderId="9" xfId="0" applyFont="1" applyBorder="1"/>
    <xf numFmtId="0" fontId="4" fillId="0" borderId="0" xfId="0" applyFont="1" applyBorder="1"/>
    <xf numFmtId="0" fontId="4" fillId="0" borderId="10" xfId="0" applyFont="1" applyBorder="1"/>
    <xf numFmtId="0" fontId="8" fillId="0" borderId="9"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0" xfId="0" applyFont="1" applyBorder="1" applyAlignment="1">
      <alignment horizontal="center" vertical="center" wrapText="1"/>
    </xf>
    <xf numFmtId="0" fontId="4" fillId="0" borderId="11" xfId="0" applyFont="1" applyBorder="1"/>
    <xf numFmtId="0" fontId="4" fillId="0" borderId="12" xfId="0" applyFont="1" applyBorder="1"/>
    <xf numFmtId="0" fontId="4" fillId="0" borderId="13" xfId="0" applyFont="1" applyBorder="1"/>
    <xf numFmtId="0" fontId="0" fillId="0" borderId="11" xfId="0" applyBorder="1" applyAlignment="1">
      <alignment vertical="top" wrapText="1"/>
    </xf>
    <xf numFmtId="0" fontId="0" fillId="0" borderId="12" xfId="0" applyBorder="1" applyAlignment="1">
      <alignment vertical="top" wrapText="1"/>
    </xf>
    <xf numFmtId="0" fontId="5"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0" xfId="0" applyFont="1" applyBorder="1" applyAlignment="1">
      <alignment horizontal="justify" vertical="center" wrapText="1"/>
    </xf>
    <xf numFmtId="0" fontId="0" fillId="0" borderId="13" xfId="0" applyBorder="1" applyAlignment="1">
      <alignment vertical="top" wrapText="1"/>
    </xf>
    <xf numFmtId="0" fontId="9" fillId="2" borderId="16" xfId="0" applyFont="1" applyFill="1" applyBorder="1" applyAlignment="1">
      <alignment horizontal="center" vertical="center" wrapText="1" readingOrder="1"/>
    </xf>
    <xf numFmtId="0" fontId="10" fillId="0" borderId="17" xfId="0" applyFont="1" applyBorder="1"/>
    <xf numFmtId="0" fontId="10" fillId="0" borderId="18" xfId="0" applyFont="1" applyBorder="1"/>
    <xf numFmtId="0" fontId="11" fillId="3" borderId="0" xfId="0" applyFont="1" applyFill="1" applyBorder="1"/>
    <xf numFmtId="0" fontId="12" fillId="2" borderId="16" xfId="0" applyFont="1" applyFill="1" applyBorder="1" applyAlignment="1">
      <alignment horizontal="center" vertical="center" wrapText="1" readingOrder="1"/>
    </xf>
    <xf numFmtId="0" fontId="10" fillId="0" borderId="19" xfId="0" applyFont="1" applyBorder="1"/>
    <xf numFmtId="0" fontId="12" fillId="2" borderId="20" xfId="0" applyFont="1" applyFill="1" applyBorder="1" applyAlignment="1">
      <alignment horizontal="center" vertical="center" wrapText="1" readingOrder="1"/>
    </xf>
    <xf numFmtId="0" fontId="12" fillId="2" borderId="21" xfId="0" applyFont="1" applyFill="1" applyBorder="1" applyAlignment="1">
      <alignment horizontal="center" vertical="center" wrapText="1" readingOrder="1"/>
    </xf>
    <xf numFmtId="0" fontId="12" fillId="3" borderId="22" xfId="0" applyFont="1" applyFill="1" applyBorder="1" applyAlignment="1">
      <alignment horizontal="center" vertical="center" wrapText="1" readingOrder="1"/>
    </xf>
    <xf numFmtId="0" fontId="12" fillId="3" borderId="23" xfId="0" applyFont="1" applyFill="1" applyBorder="1" applyAlignment="1">
      <alignment horizontal="center" vertical="center" wrapText="1" readingOrder="1"/>
    </xf>
    <xf numFmtId="0" fontId="12" fillId="3" borderId="24" xfId="0" applyFont="1" applyFill="1" applyBorder="1" applyAlignment="1">
      <alignment horizontal="center" vertical="center" wrapText="1" readingOrder="1"/>
    </xf>
    <xf numFmtId="0" fontId="13" fillId="3" borderId="24" xfId="0" applyFont="1" applyFill="1" applyBorder="1" applyAlignment="1">
      <alignment horizontal="left" vertical="center" wrapText="1" readingOrder="1"/>
    </xf>
    <xf numFmtId="9" fontId="12" fillId="3" borderId="25" xfId="0" applyNumberFormat="1" applyFont="1" applyFill="1" applyBorder="1" applyAlignment="1">
      <alignment horizontal="center" vertical="center" wrapText="1" readingOrder="1"/>
    </xf>
    <xf numFmtId="0" fontId="10" fillId="0" borderId="22" xfId="0" applyFont="1" applyBorder="1"/>
    <xf numFmtId="0" fontId="10" fillId="0" borderId="23" xfId="0" applyFont="1" applyBorder="1"/>
    <xf numFmtId="0" fontId="12" fillId="3" borderId="26" xfId="0" applyFont="1" applyFill="1" applyBorder="1" applyAlignment="1">
      <alignment horizontal="center" vertical="center" wrapText="1" readingOrder="1"/>
    </xf>
    <xf numFmtId="0" fontId="13" fillId="3" borderId="26" xfId="0" applyFont="1" applyFill="1" applyBorder="1" applyAlignment="1">
      <alignment horizontal="left" vertical="center" wrapText="1" readingOrder="1"/>
    </xf>
    <xf numFmtId="9" fontId="12" fillId="3" borderId="27" xfId="0" applyNumberFormat="1" applyFont="1" applyFill="1" applyBorder="1" applyAlignment="1">
      <alignment horizontal="center" vertical="center" wrapText="1" readingOrder="1"/>
    </xf>
    <xf numFmtId="0" fontId="10" fillId="0" borderId="24" xfId="0" applyFont="1" applyBorder="1"/>
    <xf numFmtId="0" fontId="12" fillId="3" borderId="28" xfId="0" applyFont="1" applyFill="1" applyBorder="1" applyAlignment="1">
      <alignment horizontal="center" vertical="center" wrapText="1" readingOrder="1"/>
    </xf>
    <xf numFmtId="0" fontId="10" fillId="0" borderId="29" xfId="0" applyFont="1" applyBorder="1"/>
    <xf numFmtId="0" fontId="12" fillId="3" borderId="30" xfId="0" applyFont="1" applyFill="1" applyBorder="1" applyAlignment="1">
      <alignment horizontal="center" vertical="center" wrapText="1" readingOrder="1"/>
    </xf>
    <xf numFmtId="0" fontId="13" fillId="3" borderId="27" xfId="0" applyFont="1" applyFill="1" applyBorder="1" applyAlignment="1">
      <alignment horizontal="center" vertical="center" wrapText="1" readingOrder="1"/>
    </xf>
    <xf numFmtId="0" fontId="10" fillId="0" borderId="31" xfId="0" applyFont="1" applyBorder="1"/>
    <xf numFmtId="0" fontId="10" fillId="0" borderId="32" xfId="0" applyFont="1" applyBorder="1"/>
    <xf numFmtId="0" fontId="12" fillId="3" borderId="33" xfId="0" applyFont="1" applyFill="1" applyBorder="1" applyAlignment="1">
      <alignment horizontal="center" vertical="center" wrapText="1" readingOrder="1"/>
    </xf>
    <xf numFmtId="0" fontId="13" fillId="3" borderId="33" xfId="0" applyFont="1" applyFill="1" applyBorder="1" applyAlignment="1">
      <alignment horizontal="left" vertical="center" wrapText="1" readingOrder="1"/>
    </xf>
    <xf numFmtId="0" fontId="13" fillId="3" borderId="34" xfId="0" applyFont="1" applyFill="1" applyBorder="1" applyAlignment="1">
      <alignment horizontal="center" vertical="center" wrapText="1" readingOrder="1"/>
    </xf>
    <xf numFmtId="0" fontId="14" fillId="3" borderId="0" xfId="0" applyFont="1" applyFill="1" applyBorder="1" applyAlignment="1">
      <alignment horizontal="left" vertical="center" wrapText="1"/>
    </xf>
    <xf numFmtId="0" fontId="10" fillId="0" borderId="0" xfId="0" applyFont="1" applyBorder="1"/>
    <xf numFmtId="0" fontId="3" fillId="3" borderId="0" xfId="0" applyFont="1" applyFill="1" applyBorder="1"/>
    <xf numFmtId="0" fontId="15" fillId="0" borderId="0" xfId="0" applyFont="1" applyAlignment="1">
      <alignment horizontal="center" vertical="center"/>
    </xf>
    <xf numFmtId="0" fontId="16" fillId="3" borderId="0" xfId="0" applyFont="1" applyFill="1" applyBorder="1" applyAlignment="1">
      <alignment horizontal="center" vertical="center" wrapText="1"/>
    </xf>
    <xf numFmtId="0" fontId="17" fillId="4" borderId="0" xfId="0" applyFont="1" applyFill="1" applyBorder="1" applyAlignment="1">
      <alignment horizontal="center" vertical="center" wrapText="1" readingOrder="1"/>
    </xf>
    <xf numFmtId="0" fontId="18" fillId="3" borderId="0" xfId="0" applyFont="1" applyFill="1" applyBorder="1"/>
    <xf numFmtId="0" fontId="19" fillId="5" borderId="35" xfId="0" applyFont="1" applyFill="1" applyBorder="1" applyAlignment="1">
      <alignment horizontal="center" vertical="center" wrapText="1" readingOrder="1"/>
    </xf>
    <xf numFmtId="0" fontId="19" fillId="0" borderId="35" xfId="0" applyFont="1" applyBorder="1" applyAlignment="1">
      <alignment horizontal="center" vertical="center" wrapText="1" readingOrder="1"/>
    </xf>
    <xf numFmtId="0" fontId="19" fillId="0" borderId="35" xfId="0" applyFont="1" applyBorder="1" applyAlignment="1">
      <alignment horizontal="left" vertical="center" wrapText="1" readingOrder="1"/>
    </xf>
    <xf numFmtId="0" fontId="19" fillId="6" borderId="1" xfId="0" applyFont="1" applyFill="1" applyBorder="1" applyAlignment="1">
      <alignment horizontal="center" vertical="center" wrapText="1" readingOrder="1"/>
    </xf>
    <xf numFmtId="0" fontId="19" fillId="0" borderId="1" xfId="0" applyFont="1" applyBorder="1" applyAlignment="1">
      <alignment horizontal="center" vertical="center" wrapText="1" readingOrder="1"/>
    </xf>
    <xf numFmtId="0" fontId="19" fillId="0" borderId="1" xfId="0" applyFont="1" applyBorder="1" applyAlignment="1">
      <alignment horizontal="left" vertical="center" wrapText="1" readingOrder="1"/>
    </xf>
    <xf numFmtId="0" fontId="19" fillId="7" borderId="1" xfId="0" applyFont="1" applyFill="1" applyBorder="1" applyAlignment="1">
      <alignment horizontal="center" vertical="center" wrapText="1" readingOrder="1"/>
    </xf>
    <xf numFmtId="0" fontId="19" fillId="8" borderId="1" xfId="0" applyFont="1" applyFill="1" applyBorder="1" applyAlignment="1">
      <alignment horizontal="center" vertical="center" wrapText="1" readingOrder="1"/>
    </xf>
    <xf numFmtId="0" fontId="19" fillId="8" borderId="1" xfId="0" applyFont="1" applyFill="1" applyBorder="1" applyAlignment="1">
      <alignment horizontal="left" vertical="center" wrapText="1" readingOrder="1"/>
    </xf>
    <xf numFmtId="0" fontId="19" fillId="9" borderId="1" xfId="0" applyFont="1" applyFill="1" applyBorder="1" applyAlignment="1">
      <alignment horizontal="center" vertical="center" wrapText="1" readingOrder="1"/>
    </xf>
    <xf numFmtId="0" fontId="20" fillId="10" borderId="1" xfId="0" applyFont="1" applyFill="1" applyBorder="1" applyAlignment="1">
      <alignment horizontal="center" vertical="center" wrapText="1" readingOrder="1"/>
    </xf>
    <xf numFmtId="0" fontId="21" fillId="3" borderId="0" xfId="0" applyFont="1" applyFill="1" applyBorder="1" applyAlignment="1">
      <alignment horizontal="left" vertical="center" wrapText="1" readingOrder="1"/>
    </xf>
    <xf numFmtId="0" fontId="22" fillId="3" borderId="0" xfId="0" applyFont="1" applyFill="1" applyBorder="1" applyAlignment="1">
      <alignment vertical="center"/>
    </xf>
    <xf numFmtId="0" fontId="23" fillId="0" borderId="0" xfId="0" applyFont="1" applyAlignment="1">
      <alignment vertical="center"/>
    </xf>
    <xf numFmtId="0" fontId="24" fillId="0" borderId="0" xfId="0" applyFont="1"/>
    <xf numFmtId="0" fontId="25" fillId="0" borderId="0" xfId="0" applyFont="1"/>
    <xf numFmtId="0" fontId="26" fillId="0" borderId="0" xfId="0" applyFont="1"/>
    <xf numFmtId="0" fontId="27" fillId="0" borderId="0" xfId="0" applyFont="1" applyAlignment="1">
      <alignment horizontal="center" vertical="center"/>
    </xf>
    <xf numFmtId="0" fontId="28" fillId="0" borderId="0" xfId="0" applyFont="1" applyAlignment="1">
      <alignment horizontal="center" vertical="center" wrapText="1"/>
    </xf>
    <xf numFmtId="0" fontId="29" fillId="4" borderId="0" xfId="0" applyFont="1" applyFill="1" applyBorder="1" applyAlignment="1">
      <alignment horizontal="center" vertical="center" wrapText="1" readingOrder="1"/>
    </xf>
    <xf numFmtId="0" fontId="30" fillId="5" borderId="35" xfId="0" applyFont="1" applyFill="1" applyBorder="1" applyAlignment="1">
      <alignment horizontal="center" vertical="center" wrapText="1" readingOrder="1"/>
    </xf>
    <xf numFmtId="0" fontId="30" fillId="0" borderId="35" xfId="0" applyFont="1" applyBorder="1" applyAlignment="1">
      <alignment horizontal="left" vertical="center" wrapText="1" readingOrder="1"/>
    </xf>
    <xf numFmtId="9" fontId="30" fillId="0" borderId="35" xfId="0" applyNumberFormat="1" applyFont="1" applyBorder="1" applyAlignment="1">
      <alignment horizontal="center" vertical="center" wrapText="1" readingOrder="1"/>
    </xf>
    <xf numFmtId="0" fontId="30" fillId="6" borderId="1" xfId="0" applyFont="1" applyFill="1" applyBorder="1" applyAlignment="1">
      <alignment horizontal="center" vertical="center" wrapText="1" readingOrder="1"/>
    </xf>
    <xf numFmtId="0" fontId="30" fillId="0" borderId="1" xfId="0" applyFont="1" applyBorder="1" applyAlignment="1">
      <alignment horizontal="left" vertical="center" wrapText="1" readingOrder="1"/>
    </xf>
    <xf numFmtId="9" fontId="30" fillId="0" borderId="1" xfId="0" applyNumberFormat="1" applyFont="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9" borderId="1" xfId="0" applyFont="1" applyFill="1" applyBorder="1" applyAlignment="1">
      <alignment horizontal="center" vertical="center" wrapText="1" readingOrder="1"/>
    </xf>
    <xf numFmtId="0" fontId="31" fillId="10" borderId="1" xfId="0" applyFont="1" applyFill="1" applyBorder="1" applyAlignment="1">
      <alignment horizontal="center" vertical="center" wrapText="1" readingOrder="1"/>
    </xf>
    <xf numFmtId="0" fontId="32" fillId="0" borderId="0" xfId="0" applyFont="1" applyAlignment="1">
      <alignment horizontal="center" vertical="center" wrapText="1"/>
    </xf>
    <xf numFmtId="0" fontId="33" fillId="11" borderId="0" xfId="0" applyFont="1" applyFill="1" applyBorder="1" applyAlignment="1">
      <alignment horizontal="center" vertical="center" textRotation="90" wrapText="1" readingOrder="1"/>
    </xf>
    <xf numFmtId="0" fontId="10" fillId="0" borderId="36" xfId="0" applyFont="1" applyBorder="1"/>
    <xf numFmtId="0" fontId="34" fillId="0" borderId="37" xfId="0" applyFont="1" applyBorder="1" applyAlignment="1">
      <alignment horizontal="center" vertical="center" wrapText="1"/>
    </xf>
    <xf numFmtId="0" fontId="10" fillId="0" borderId="38" xfId="0" applyFont="1" applyBorder="1"/>
    <xf numFmtId="0" fontId="10" fillId="0" borderId="39" xfId="0" applyFont="1" applyBorder="1"/>
    <xf numFmtId="0" fontId="10" fillId="0" borderId="40" xfId="0" applyFont="1" applyBorder="1"/>
    <xf numFmtId="0" fontId="10" fillId="0" borderId="41" xfId="0" applyFont="1" applyBorder="1"/>
    <xf numFmtId="0" fontId="33" fillId="11" borderId="0" xfId="0" applyFont="1" applyFill="1" applyBorder="1" applyAlignment="1">
      <alignment horizontal="center" vertical="center" wrapText="1" readingOrder="1"/>
    </xf>
    <xf numFmtId="0" fontId="10" fillId="0" borderId="42" xfId="0" applyFont="1" applyBorder="1"/>
    <xf numFmtId="0" fontId="35" fillId="12" borderId="37" xfId="0" applyFont="1" applyFill="1" applyBorder="1" applyAlignment="1">
      <alignment horizontal="center" vertical="center" wrapText="1" readingOrder="1"/>
    </xf>
    <xf numFmtId="0" fontId="35" fillId="12" borderId="38" xfId="0" applyFont="1" applyFill="1" applyBorder="1" applyAlignment="1">
      <alignment horizontal="center" vertical="center" wrapText="1" readingOrder="1"/>
    </xf>
    <xf numFmtId="0" fontId="35" fillId="12" borderId="42" xfId="0" applyFont="1" applyFill="1" applyBorder="1" applyAlignment="1">
      <alignment horizontal="center" vertical="center" wrapText="1" readingOrder="1"/>
    </xf>
    <xf numFmtId="0" fontId="35" fillId="12" borderId="39" xfId="0" applyFont="1" applyFill="1" applyBorder="1" applyAlignment="1">
      <alignment horizontal="center" vertical="center" wrapText="1" readingOrder="1"/>
    </xf>
    <xf numFmtId="0" fontId="35" fillId="12" borderId="0" xfId="0" applyFont="1" applyFill="1" applyBorder="1" applyAlignment="1">
      <alignment horizontal="center" vertical="center" wrapText="1" readingOrder="1"/>
    </xf>
    <xf numFmtId="0" fontId="35" fillId="12" borderId="36" xfId="0" applyFont="1" applyFill="1" applyBorder="1" applyAlignment="1">
      <alignment horizontal="center" vertical="center" wrapText="1" readingOrder="1"/>
    </xf>
    <xf numFmtId="0" fontId="10" fillId="0" borderId="43" xfId="0" applyFont="1" applyBorder="1"/>
    <xf numFmtId="0" fontId="35" fillId="12" borderId="40" xfId="0" applyFont="1" applyFill="1" applyBorder="1" applyAlignment="1">
      <alignment horizontal="center" vertical="center" wrapText="1" readingOrder="1"/>
    </xf>
    <xf numFmtId="0" fontId="35" fillId="12" borderId="41" xfId="0" applyFont="1" applyFill="1" applyBorder="1" applyAlignment="1">
      <alignment horizontal="center" vertical="center" wrapText="1" readingOrder="1"/>
    </xf>
    <xf numFmtId="0" fontId="35" fillId="12" borderId="43" xfId="0" applyFont="1" applyFill="1" applyBorder="1" applyAlignment="1">
      <alignment horizontal="center" vertical="center" wrapText="1" readingOrder="1"/>
    </xf>
    <xf numFmtId="0" fontId="35" fillId="13" borderId="37" xfId="0" applyFont="1" applyFill="1" applyBorder="1" applyAlignment="1">
      <alignment horizontal="center" wrapText="1" readingOrder="1"/>
    </xf>
    <xf numFmtId="0" fontId="35" fillId="13" borderId="38" xfId="0" applyFont="1" applyFill="1" applyBorder="1" applyAlignment="1">
      <alignment horizontal="center" wrapText="1" readingOrder="1"/>
    </xf>
    <xf numFmtId="0" fontId="35" fillId="13" borderId="42" xfId="0" applyFont="1" applyFill="1" applyBorder="1" applyAlignment="1">
      <alignment horizontal="center" wrapText="1" readingOrder="1"/>
    </xf>
    <xf numFmtId="0" fontId="35" fillId="13" borderId="39" xfId="0" applyFont="1" applyFill="1" applyBorder="1" applyAlignment="1">
      <alignment horizontal="center" wrapText="1" readingOrder="1"/>
    </xf>
    <xf numFmtId="0" fontId="35" fillId="13" borderId="0" xfId="0" applyFont="1" applyFill="1" applyBorder="1" applyAlignment="1">
      <alignment horizontal="center" wrapText="1" readingOrder="1"/>
    </xf>
    <xf numFmtId="0" fontId="35" fillId="13" borderId="36" xfId="0" applyFont="1" applyFill="1" applyBorder="1" applyAlignment="1">
      <alignment horizontal="center" wrapText="1" readingOrder="1"/>
    </xf>
    <xf numFmtId="0" fontId="35" fillId="13" borderId="40" xfId="0" applyFont="1" applyFill="1" applyBorder="1" applyAlignment="1">
      <alignment horizontal="center" wrapText="1" readingOrder="1"/>
    </xf>
    <xf numFmtId="0" fontId="35" fillId="13" borderId="41" xfId="0" applyFont="1" applyFill="1" applyBorder="1" applyAlignment="1">
      <alignment horizontal="center" wrapText="1" readingOrder="1"/>
    </xf>
    <xf numFmtId="0" fontId="35" fillId="13" borderId="43" xfId="0" applyFont="1" applyFill="1" applyBorder="1" applyAlignment="1">
      <alignment horizontal="center" wrapText="1" readingOrder="1"/>
    </xf>
    <xf numFmtId="0" fontId="35" fillId="5" borderId="37" xfId="0" applyFont="1" applyFill="1" applyBorder="1" applyAlignment="1">
      <alignment horizontal="center" wrapText="1" readingOrder="1"/>
    </xf>
    <xf numFmtId="0" fontId="35" fillId="5" borderId="38" xfId="0" applyFont="1" applyFill="1" applyBorder="1" applyAlignment="1">
      <alignment horizontal="center" wrapText="1" readingOrder="1"/>
    </xf>
    <xf numFmtId="0" fontId="35" fillId="5" borderId="42" xfId="0" applyFont="1" applyFill="1" applyBorder="1" applyAlignment="1">
      <alignment horizontal="center" wrapText="1" readingOrder="1"/>
    </xf>
    <xf numFmtId="0" fontId="35" fillId="5" borderId="39" xfId="0" applyFont="1" applyFill="1" applyBorder="1" applyAlignment="1">
      <alignment horizontal="center" wrapText="1" readingOrder="1"/>
    </xf>
    <xf numFmtId="0" fontId="35" fillId="5" borderId="0" xfId="0" applyFont="1" applyFill="1" applyBorder="1" applyAlignment="1">
      <alignment horizontal="center" wrapText="1" readingOrder="1"/>
    </xf>
    <xf numFmtId="0" fontId="35" fillId="5" borderId="36" xfId="0" applyFont="1" applyFill="1" applyBorder="1" applyAlignment="1">
      <alignment horizontal="center" wrapText="1" readingOrder="1"/>
    </xf>
    <xf numFmtId="0" fontId="35" fillId="5" borderId="40" xfId="0" applyFont="1" applyFill="1" applyBorder="1" applyAlignment="1">
      <alignment horizontal="center" wrapText="1" readingOrder="1"/>
    </xf>
    <xf numFmtId="0" fontId="35" fillId="5" borderId="41" xfId="0" applyFont="1" applyFill="1" applyBorder="1" applyAlignment="1">
      <alignment horizontal="center" wrapText="1" readingOrder="1"/>
    </xf>
    <xf numFmtId="0" fontId="35" fillId="5" borderId="43" xfId="0" applyFont="1" applyFill="1" applyBorder="1" applyAlignment="1">
      <alignment horizontal="center" wrapText="1" readingOrder="1"/>
    </xf>
    <xf numFmtId="0" fontId="36" fillId="13" borderId="38" xfId="0" applyFont="1" applyFill="1" applyBorder="1" applyAlignment="1">
      <alignment horizontal="center" wrapText="1" readingOrder="1"/>
    </xf>
    <xf numFmtId="0" fontId="35" fillId="14" borderId="37" xfId="0" applyFont="1" applyFill="1" applyBorder="1" applyAlignment="1">
      <alignment horizontal="center" wrapText="1" readingOrder="1"/>
    </xf>
    <xf numFmtId="0" fontId="35" fillId="14" borderId="38" xfId="0" applyFont="1" applyFill="1" applyBorder="1" applyAlignment="1">
      <alignment horizontal="center" wrapText="1" readingOrder="1"/>
    </xf>
    <xf numFmtId="0" fontId="35" fillId="14" borderId="42" xfId="0" applyFont="1" applyFill="1" applyBorder="1" applyAlignment="1">
      <alignment horizontal="center" wrapText="1" readingOrder="1"/>
    </xf>
    <xf numFmtId="0" fontId="35" fillId="14" borderId="39" xfId="0" applyFont="1" applyFill="1" applyBorder="1" applyAlignment="1">
      <alignment horizontal="center" wrapText="1" readingOrder="1"/>
    </xf>
    <xf numFmtId="0" fontId="35" fillId="14" borderId="0" xfId="0" applyFont="1" applyFill="1" applyBorder="1" applyAlignment="1">
      <alignment horizontal="center" wrapText="1" readingOrder="1"/>
    </xf>
    <xf numFmtId="0" fontId="35" fillId="14" borderId="36" xfId="0" applyFont="1" applyFill="1" applyBorder="1" applyAlignment="1">
      <alignment horizontal="center" wrapText="1" readingOrder="1"/>
    </xf>
    <xf numFmtId="0" fontId="35" fillId="14" borderId="40" xfId="0" applyFont="1" applyFill="1" applyBorder="1" applyAlignment="1">
      <alignment horizontal="center" wrapText="1" readingOrder="1"/>
    </xf>
    <xf numFmtId="0" fontId="35" fillId="14" borderId="41" xfId="0" applyFont="1" applyFill="1" applyBorder="1" applyAlignment="1">
      <alignment horizontal="center" wrapText="1" readingOrder="1"/>
    </xf>
    <xf numFmtId="0" fontId="35" fillId="14" borderId="43" xfId="0" applyFont="1" applyFill="1" applyBorder="1" applyAlignment="1">
      <alignment horizontal="center" wrapText="1" readingOrder="1"/>
    </xf>
    <xf numFmtId="0" fontId="37" fillId="14" borderId="44" xfId="0" applyFont="1" applyFill="1" applyBorder="1" applyAlignment="1">
      <alignment horizontal="center" vertical="center" wrapText="1" readingOrder="1"/>
    </xf>
    <xf numFmtId="0" fontId="10" fillId="0" borderId="45" xfId="0" applyFont="1" applyBorder="1"/>
    <xf numFmtId="0" fontId="10" fillId="0" borderId="46" xfId="0" applyFont="1" applyBorder="1"/>
    <xf numFmtId="0" fontId="10" fillId="0" borderId="47" xfId="0" applyFont="1" applyBorder="1"/>
    <xf numFmtId="0" fontId="10" fillId="0" borderId="48" xfId="0" applyFont="1" applyBorder="1"/>
    <xf numFmtId="0" fontId="10" fillId="0" borderId="49" xfId="0" applyFont="1" applyBorder="1"/>
    <xf numFmtId="0" fontId="10" fillId="0" borderId="50" xfId="0" applyFont="1" applyBorder="1"/>
    <xf numFmtId="0" fontId="10" fillId="0" borderId="51" xfId="0" applyFont="1" applyBorder="1"/>
    <xf numFmtId="0" fontId="37" fillId="12" borderId="44" xfId="0" applyFont="1" applyFill="1" applyBorder="1" applyAlignment="1">
      <alignment horizontal="center" vertical="center" wrapText="1" readingOrder="1"/>
    </xf>
    <xf numFmtId="0" fontId="37" fillId="13" borderId="44" xfId="0" applyFont="1" applyFill="1" applyBorder="1" applyAlignment="1">
      <alignment horizontal="center" vertical="center" wrapText="1" readingOrder="1"/>
    </xf>
    <xf numFmtId="0" fontId="37" fillId="5" borderId="44" xfId="0" applyFont="1" applyFill="1" applyBorder="1" applyAlignment="1">
      <alignment horizontal="center" vertical="center" wrapText="1" readingOrder="1"/>
    </xf>
    <xf numFmtId="0" fontId="38" fillId="0" borderId="0" xfId="0" applyFont="1" applyAlignment="1">
      <alignment horizontal="center" vertical="center" wrapText="1"/>
    </xf>
    <xf numFmtId="0" fontId="39" fillId="0" borderId="37" xfId="0" applyFont="1" applyBorder="1" applyAlignment="1">
      <alignment horizontal="center" vertical="center" wrapText="1"/>
    </xf>
    <xf numFmtId="0" fontId="40" fillId="12" borderId="37" xfId="0" applyFont="1" applyFill="1" applyBorder="1" applyAlignment="1">
      <alignment horizontal="center" vertical="center" wrapText="1" readingOrder="1"/>
    </xf>
    <xf numFmtId="0" fontId="40" fillId="12" borderId="38" xfId="0" applyFont="1" applyFill="1" applyBorder="1" applyAlignment="1">
      <alignment horizontal="center" vertical="center" wrapText="1" readingOrder="1"/>
    </xf>
    <xf numFmtId="0" fontId="40" fillId="12" borderId="39" xfId="0" applyFont="1" applyFill="1" applyBorder="1" applyAlignment="1">
      <alignment horizontal="center" vertical="center" wrapText="1" readingOrder="1"/>
    </xf>
    <xf numFmtId="0" fontId="40" fillId="12" borderId="0" xfId="0" applyFont="1" applyFill="1" applyBorder="1" applyAlignment="1">
      <alignment horizontal="center" vertical="center" wrapText="1" readingOrder="1"/>
    </xf>
    <xf numFmtId="0" fontId="40" fillId="13" borderId="37" xfId="0" applyFont="1" applyFill="1" applyBorder="1" applyAlignment="1">
      <alignment horizontal="center" wrapText="1" readingOrder="1"/>
    </xf>
    <xf numFmtId="0" fontId="40" fillId="13" borderId="38" xfId="0" applyFont="1" applyFill="1" applyBorder="1" applyAlignment="1">
      <alignment horizontal="center" wrapText="1" readingOrder="1"/>
    </xf>
    <xf numFmtId="0" fontId="40" fillId="13" borderId="39" xfId="0" applyFont="1" applyFill="1" applyBorder="1" applyAlignment="1">
      <alignment horizontal="center" wrapText="1" readingOrder="1"/>
    </xf>
    <xf numFmtId="0" fontId="40" fillId="13" borderId="0" xfId="0" applyFont="1" applyFill="1" applyBorder="1" applyAlignment="1">
      <alignment horizontal="center" wrapText="1" readingOrder="1"/>
    </xf>
    <xf numFmtId="0" fontId="40" fillId="5" borderId="37" xfId="0" applyFont="1" applyFill="1" applyBorder="1" applyAlignment="1">
      <alignment horizontal="center" wrapText="1" readingOrder="1"/>
    </xf>
    <xf numFmtId="0" fontId="40" fillId="5" borderId="38" xfId="0" applyFont="1" applyFill="1" applyBorder="1" applyAlignment="1">
      <alignment horizontal="center" wrapText="1" readingOrder="1"/>
    </xf>
    <xf numFmtId="0" fontId="40" fillId="5" borderId="39" xfId="0" applyFont="1" applyFill="1" applyBorder="1" applyAlignment="1">
      <alignment horizontal="center" wrapText="1" readingOrder="1"/>
    </xf>
    <xf numFmtId="0" fontId="40" fillId="5" borderId="0" xfId="0" applyFont="1" applyFill="1" applyBorder="1" applyAlignment="1">
      <alignment horizontal="center" wrapText="1" readingOrder="1"/>
    </xf>
    <xf numFmtId="0" fontId="40" fillId="14" borderId="37" xfId="0" applyFont="1" applyFill="1" applyBorder="1" applyAlignment="1">
      <alignment horizontal="center" wrapText="1" readingOrder="1"/>
    </xf>
    <xf numFmtId="0" fontId="40" fillId="14" borderId="38" xfId="0" applyFont="1" applyFill="1" applyBorder="1" applyAlignment="1">
      <alignment horizontal="center" wrapText="1" readingOrder="1"/>
    </xf>
    <xf numFmtId="0" fontId="40" fillId="14" borderId="39" xfId="0" applyFont="1" applyFill="1" applyBorder="1" applyAlignment="1">
      <alignment horizontal="center" wrapText="1" readingOrder="1"/>
    </xf>
    <xf numFmtId="0" fontId="40" fillId="14" borderId="0" xfId="0" applyFont="1" applyFill="1" applyBorder="1" applyAlignment="1">
      <alignment horizontal="center" wrapText="1" readingOrder="1"/>
    </xf>
    <xf numFmtId="0" fontId="41" fillId="14" borderId="44" xfId="0" applyFont="1" applyFill="1" applyBorder="1" applyAlignment="1">
      <alignment horizontal="center" vertical="center" wrapText="1" readingOrder="1"/>
    </xf>
    <xf numFmtId="0" fontId="41" fillId="12" borderId="44" xfId="0" applyFont="1" applyFill="1" applyBorder="1" applyAlignment="1">
      <alignment horizontal="center" vertical="center" wrapText="1" readingOrder="1"/>
    </xf>
    <xf numFmtId="0" fontId="41" fillId="13" borderId="44" xfId="0" applyFont="1" applyFill="1" applyBorder="1" applyAlignment="1">
      <alignment horizontal="center" vertical="center" wrapText="1" readingOrder="1"/>
    </xf>
    <xf numFmtId="0" fontId="41" fillId="5" borderId="44" xfId="0" applyFont="1" applyFill="1" applyBorder="1" applyAlignment="1">
      <alignment horizontal="center" vertical="center" wrapText="1" readingOrder="1"/>
    </xf>
    <xf numFmtId="0" fontId="42" fillId="15" borderId="52" xfId="0" applyFont="1" applyFill="1" applyBorder="1" applyAlignment="1">
      <alignment horizontal="center" vertical="center" wrapText="1"/>
    </xf>
    <xf numFmtId="0" fontId="10" fillId="0" borderId="53" xfId="0" applyFont="1" applyBorder="1"/>
    <xf numFmtId="0" fontId="10" fillId="0" borderId="54" xfId="0" applyFont="1" applyBorder="1"/>
    <xf numFmtId="0" fontId="43" fillId="3" borderId="55" xfId="0" applyFont="1" applyFill="1" applyBorder="1"/>
    <xf numFmtId="0" fontId="43" fillId="3" borderId="56" xfId="0" applyFont="1" applyFill="1" applyBorder="1"/>
    <xf numFmtId="0" fontId="43" fillId="3" borderId="57" xfId="0" applyFont="1" applyFill="1" applyBorder="1"/>
    <xf numFmtId="0" fontId="43" fillId="0" borderId="39" xfId="0" applyFont="1" applyBorder="1" applyAlignment="1">
      <alignment horizontal="left" vertical="center" wrapText="1"/>
    </xf>
    <xf numFmtId="0" fontId="10" fillId="0" borderId="58" xfId="0" applyFont="1" applyBorder="1"/>
    <xf numFmtId="0" fontId="10" fillId="0" borderId="59" xfId="0" applyFont="1" applyBorder="1"/>
    <xf numFmtId="0" fontId="10" fillId="0" borderId="60" xfId="0" applyFont="1" applyBorder="1"/>
    <xf numFmtId="0" fontId="44" fillId="3" borderId="55" xfId="0" applyFont="1" applyFill="1" applyBorder="1" applyAlignment="1">
      <alignment horizontal="left" vertical="top" wrapText="1"/>
    </xf>
    <xf numFmtId="0" fontId="10" fillId="0" borderId="56" xfId="0" applyFont="1" applyBorder="1"/>
    <xf numFmtId="0" fontId="10" fillId="0" borderId="57" xfId="0" applyFont="1" applyBorder="1"/>
    <xf numFmtId="0" fontId="45" fillId="3" borderId="58" xfId="0" applyFont="1" applyFill="1" applyBorder="1" applyAlignment="1">
      <alignment horizontal="left" vertical="center" wrapText="1"/>
    </xf>
    <xf numFmtId="0" fontId="44" fillId="3" borderId="39" xfId="0" applyFont="1" applyFill="1" applyBorder="1" applyAlignment="1">
      <alignment horizontal="left" vertical="top" wrapText="1"/>
    </xf>
    <xf numFmtId="0" fontId="22" fillId="3" borderId="0" xfId="0" applyFont="1" applyFill="1" applyBorder="1" applyAlignment="1">
      <alignment horizontal="left" vertical="top" wrapText="1"/>
    </xf>
    <xf numFmtId="0" fontId="22" fillId="3" borderId="36" xfId="0" applyFont="1" applyFill="1" applyBorder="1" applyAlignment="1">
      <alignment horizontal="left" vertical="top" wrapText="1"/>
    </xf>
    <xf numFmtId="0" fontId="43" fillId="0" borderId="39" xfId="0" applyFont="1" applyBorder="1" applyAlignment="1">
      <alignment horizontal="left" vertical="top" wrapText="1"/>
    </xf>
    <xf numFmtId="0" fontId="43" fillId="3" borderId="39" xfId="0" applyFont="1" applyFill="1" applyBorder="1"/>
    <xf numFmtId="0" fontId="43" fillId="3" borderId="0" xfId="0" applyFont="1" applyFill="1" applyBorder="1"/>
    <xf numFmtId="0" fontId="46" fillId="3" borderId="0" xfId="0" applyFont="1" applyFill="1" applyBorder="1" applyAlignment="1">
      <alignment horizontal="left" vertical="center" wrapText="1"/>
    </xf>
    <xf numFmtId="0" fontId="43" fillId="3" borderId="0" xfId="0" applyFont="1" applyFill="1" applyBorder="1" applyAlignment="1">
      <alignment horizontal="left" vertical="center" wrapText="1"/>
    </xf>
    <xf numFmtId="0" fontId="43" fillId="3" borderId="36" xfId="0" applyFont="1" applyFill="1" applyBorder="1"/>
    <xf numFmtId="0" fontId="47" fillId="15" borderId="61" xfId="0" applyFont="1" applyFill="1" applyBorder="1" applyAlignment="1">
      <alignment horizontal="center" vertical="center" wrapText="1"/>
    </xf>
    <xf numFmtId="0" fontId="10" fillId="0" borderId="62" xfId="0" applyFont="1" applyBorder="1"/>
    <xf numFmtId="0" fontId="47" fillId="15" borderId="63" xfId="0" applyFont="1" applyFill="1" applyBorder="1" applyAlignment="1">
      <alignment horizontal="center" vertical="center"/>
    </xf>
    <xf numFmtId="0" fontId="10" fillId="0" borderId="64" xfId="0" applyFont="1" applyBorder="1"/>
    <xf numFmtId="0" fontId="47" fillId="3" borderId="65" xfId="0" applyFont="1" applyFill="1" applyBorder="1" applyAlignment="1">
      <alignment horizontal="left" vertical="top" wrapText="1" readingOrder="1"/>
    </xf>
    <xf numFmtId="0" fontId="10" fillId="0" borderId="66" xfId="0" applyFont="1" applyBorder="1"/>
    <xf numFmtId="0" fontId="48" fillId="3" borderId="67" xfId="0" applyFont="1" applyFill="1" applyBorder="1" applyAlignment="1">
      <alignment horizontal="left" vertical="center" wrapText="1"/>
    </xf>
    <xf numFmtId="0" fontId="10" fillId="0" borderId="68" xfId="0" applyFont="1" applyBorder="1"/>
    <xf numFmtId="0" fontId="47" fillId="3" borderId="69" xfId="0" applyFont="1" applyFill="1" applyBorder="1" applyAlignment="1">
      <alignment horizontal="left" vertical="center" wrapText="1"/>
    </xf>
    <xf numFmtId="0" fontId="10" fillId="0" borderId="70" xfId="0" applyFont="1" applyBorder="1"/>
    <xf numFmtId="0" fontId="48" fillId="3" borderId="71" xfId="0" applyFont="1" applyFill="1" applyBorder="1" applyAlignment="1">
      <alignment horizontal="left" vertical="center" wrapText="1"/>
    </xf>
    <xf numFmtId="0" fontId="10" fillId="0" borderId="72" xfId="0" applyFont="1" applyBorder="1"/>
    <xf numFmtId="0" fontId="47" fillId="3" borderId="73" xfId="0" applyFont="1" applyFill="1" applyBorder="1" applyAlignment="1">
      <alignment horizontal="left" vertical="center" wrapText="1"/>
    </xf>
    <xf numFmtId="0" fontId="10" fillId="0" borderId="74" xfId="0" applyFont="1" applyBorder="1"/>
    <xf numFmtId="0" fontId="48" fillId="3" borderId="75" xfId="0" applyFont="1" applyFill="1" applyBorder="1" applyAlignment="1">
      <alignment horizontal="left" vertical="center" wrapText="1"/>
    </xf>
    <xf numFmtId="0" fontId="10" fillId="0" borderId="76" xfId="0" applyFont="1" applyBorder="1"/>
    <xf numFmtId="0" fontId="47" fillId="3" borderId="0" xfId="0" applyFont="1" applyFill="1" applyBorder="1" applyAlignment="1">
      <alignment horizontal="left" vertical="center" wrapText="1"/>
    </xf>
    <xf numFmtId="0" fontId="48" fillId="3" borderId="0" xfId="0" applyFont="1" applyFill="1" applyBorder="1" applyAlignment="1">
      <alignment horizontal="left" vertical="top" wrapText="1"/>
    </xf>
    <xf numFmtId="0" fontId="43" fillId="3" borderId="39" xfId="0" applyFont="1" applyFill="1" applyBorder="1" applyAlignment="1">
      <alignment horizontal="left" vertical="top" wrapText="1"/>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9" fillId="0" borderId="7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50" fillId="0" borderId="7" xfId="0" applyFont="1" applyBorder="1" applyAlignment="1">
      <alignment horizontal="left" vertical="center"/>
    </xf>
    <xf numFmtId="0" fontId="49" fillId="0" borderId="12" xfId="0" applyFont="1" applyBorder="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15" fontId="52" fillId="0" borderId="11" xfId="0" applyNumberFormat="1" applyFont="1" applyBorder="1" applyAlignment="1">
      <alignment horizontal="center" vertical="center"/>
    </xf>
    <xf numFmtId="0" fontId="52" fillId="0" borderId="12" xfId="0" applyFont="1" applyBorder="1" applyAlignment="1">
      <alignment horizontal="center" vertical="center"/>
    </xf>
    <xf numFmtId="0" fontId="5" fillId="16" borderId="78" xfId="0" applyFont="1" applyFill="1" applyBorder="1" applyAlignment="1">
      <alignment horizontal="center" vertical="center"/>
    </xf>
    <xf numFmtId="0" fontId="7" fillId="3" borderId="0" xfId="0" applyFont="1" applyFill="1" applyBorder="1" applyAlignment="1" applyProtection="1">
      <alignment horizontal="center" vertical="center"/>
      <protection locked="0"/>
    </xf>
    <xf numFmtId="0" fontId="5" fillId="16" borderId="78" xfId="0" applyFont="1" applyFill="1" applyBorder="1" applyAlignment="1">
      <alignment horizontal="left" vertical="center"/>
    </xf>
    <xf numFmtId="0" fontId="53" fillId="0" borderId="78" xfId="0" applyFont="1" applyBorder="1" applyAlignment="1">
      <alignment horizontal="left" vertical="center"/>
    </xf>
    <xf numFmtId="0" fontId="54" fillId="3" borderId="79" xfId="0" applyFont="1" applyFill="1" applyBorder="1" applyAlignment="1" applyProtection="1">
      <alignment horizontal="left" vertical="center"/>
      <protection locked="0"/>
    </xf>
    <xf numFmtId="0" fontId="53" fillId="0" borderId="80" xfId="0" applyFont="1" applyBorder="1" applyProtection="1">
      <protection locked="0"/>
    </xf>
    <xf numFmtId="0" fontId="54" fillId="3" borderId="79" xfId="0" applyFont="1" applyFill="1" applyBorder="1" applyAlignment="1" applyProtection="1">
      <alignment horizontal="left" vertical="center" wrapText="1"/>
      <protection locked="0"/>
    </xf>
    <xf numFmtId="0" fontId="53" fillId="0" borderId="80" xfId="0" applyFont="1" applyBorder="1" applyAlignment="1" applyProtection="1">
      <alignment wrapText="1"/>
      <protection locked="0"/>
    </xf>
    <xf numFmtId="0" fontId="53" fillId="0" borderId="78" xfId="0" applyFont="1" applyBorder="1" applyAlignment="1">
      <alignment horizontal="center" vertical="center"/>
    </xf>
    <xf numFmtId="0" fontId="5" fillId="16" borderId="78" xfId="0" applyFont="1" applyFill="1" applyBorder="1" applyAlignment="1">
      <alignment horizontal="center" vertical="center" textRotation="90"/>
    </xf>
    <xf numFmtId="0" fontId="5" fillId="16" borderId="78" xfId="0" applyFont="1" applyFill="1" applyBorder="1" applyAlignment="1">
      <alignment horizontal="center" vertical="center" wrapText="1"/>
    </xf>
    <xf numFmtId="0" fontId="7" fillId="0" borderId="81" xfId="0" applyFont="1" applyBorder="1" applyAlignment="1" applyProtection="1">
      <alignment horizontal="center" vertical="center"/>
      <protection locked="0"/>
    </xf>
    <xf numFmtId="0" fontId="7" fillId="0" borderId="78" xfId="0" applyFont="1" applyBorder="1" applyAlignment="1" applyProtection="1">
      <alignment horizontal="center" vertical="center" wrapText="1"/>
      <protection locked="0"/>
    </xf>
    <xf numFmtId="0" fontId="7" fillId="0" borderId="78" xfId="0" applyFont="1" applyBorder="1" applyAlignment="1" applyProtection="1">
      <alignment horizontal="center" vertical="center"/>
      <protection locked="0"/>
    </xf>
    <xf numFmtId="0" fontId="5" fillId="0" borderId="78" xfId="0" applyFont="1" applyBorder="1" applyAlignment="1">
      <alignment horizontal="center" vertical="center" wrapText="1"/>
    </xf>
    <xf numFmtId="0" fontId="7" fillId="0" borderId="82" xfId="0" applyFont="1" applyBorder="1" applyAlignment="1" applyProtection="1">
      <alignment horizontal="center" vertical="center"/>
      <protection locked="0"/>
    </xf>
    <xf numFmtId="0" fontId="53" fillId="0" borderId="78" xfId="0" applyFont="1" applyBorder="1" applyAlignment="1" applyProtection="1">
      <alignment horizontal="center" vertical="center"/>
      <protection locked="0"/>
    </xf>
    <xf numFmtId="0" fontId="7" fillId="0" borderId="83" xfId="0" applyFont="1" applyBorder="1" applyAlignment="1" applyProtection="1">
      <alignment horizontal="center" vertical="center"/>
      <protection locked="0"/>
    </xf>
    <xf numFmtId="0" fontId="7" fillId="0" borderId="81" xfId="0" applyFont="1" applyBorder="1" applyAlignment="1" applyProtection="1">
      <alignment vertical="center" wrapText="1"/>
      <protection locked="0"/>
    </xf>
    <xf numFmtId="0" fontId="7" fillId="0" borderId="81" xfId="0" applyFont="1" applyBorder="1" applyAlignment="1" applyProtection="1">
      <alignment vertical="center"/>
      <protection locked="0"/>
    </xf>
    <xf numFmtId="0" fontId="5" fillId="0" borderId="81" xfId="0" applyFont="1" applyBorder="1" applyAlignment="1">
      <alignment vertical="center" wrapText="1"/>
    </xf>
    <xf numFmtId="0" fontId="7" fillId="0" borderId="81" xfId="0" applyFont="1" applyBorder="1" applyAlignment="1" applyProtection="1">
      <alignment horizontal="center" vertical="center" wrapText="1"/>
      <protection locked="0"/>
    </xf>
    <xf numFmtId="0" fontId="7" fillId="0" borderId="82" xfId="0" applyFont="1" applyBorder="1" applyAlignment="1" applyProtection="1">
      <alignment horizontal="center" vertical="center" wrapText="1"/>
      <protection locked="0"/>
    </xf>
    <xf numFmtId="0" fontId="53" fillId="0" borderId="82"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53" fillId="0" borderId="83" xfId="0" applyFont="1" applyBorder="1" applyAlignment="1" applyProtection="1">
      <alignment horizontal="center" vertical="center" wrapText="1"/>
      <protection locked="0"/>
    </xf>
    <xf numFmtId="0" fontId="7" fillId="0" borderId="78" xfId="0" applyFont="1" applyBorder="1" applyAlignment="1">
      <alignment horizontal="center" vertical="center"/>
    </xf>
    <xf numFmtId="0" fontId="7" fillId="0" borderId="78" xfId="0" applyFont="1" applyBorder="1" applyAlignment="1">
      <alignment horizontal="center" vertical="center" wrapText="1"/>
    </xf>
    <xf numFmtId="0" fontId="5" fillId="0" borderId="0" xfId="0" applyFont="1" applyAlignment="1" applyProtection="1">
      <alignment horizontal="left" vertical="center"/>
      <protection locked="0"/>
    </xf>
    <xf numFmtId="0" fontId="49" fillId="0" borderId="0" xfId="0" applyFont="1" applyBorder="1" applyAlignment="1">
      <alignment horizontal="center" vertical="center"/>
    </xf>
    <xf numFmtId="49" fontId="52" fillId="0" borderId="11" xfId="0" applyNumberFormat="1" applyFont="1" applyBorder="1" applyAlignment="1">
      <alignment horizontal="center" vertical="center"/>
    </xf>
    <xf numFmtId="49" fontId="52" fillId="0" borderId="12" xfId="0" applyNumberFormat="1" applyFont="1" applyBorder="1" applyAlignment="1">
      <alignment horizontal="center" vertical="center"/>
    </xf>
    <xf numFmtId="0" fontId="53" fillId="0" borderId="84" xfId="0" applyFont="1" applyBorder="1" applyProtection="1">
      <protection locked="0"/>
    </xf>
    <xf numFmtId="0" fontId="53" fillId="0" borderId="0" xfId="0" applyFont="1" applyBorder="1" applyAlignment="1" applyProtection="1">
      <alignment horizontal="center" vertical="center"/>
      <protection locked="0"/>
    </xf>
    <xf numFmtId="0" fontId="53" fillId="0" borderId="84" xfId="0" applyFont="1" applyBorder="1" applyAlignment="1" applyProtection="1">
      <alignment wrapText="1"/>
      <protection locked="0"/>
    </xf>
    <xf numFmtId="0" fontId="5" fillId="16" borderId="78" xfId="0" applyFont="1" applyFill="1" applyBorder="1" applyAlignment="1">
      <alignment horizontal="center" vertical="center" textRotation="90" wrapText="1"/>
    </xf>
    <xf numFmtId="9" fontId="7" fillId="0" borderId="78" xfId="0" applyNumberFormat="1" applyFont="1" applyBorder="1" applyAlignment="1">
      <alignment horizontal="center" vertical="center" wrapText="1"/>
    </xf>
    <xf numFmtId="9" fontId="7" fillId="0" borderId="78" xfId="0" applyNumberFormat="1" applyFont="1" applyBorder="1" applyAlignment="1" applyProtection="1">
      <alignment horizontal="center" vertical="center" wrapText="1"/>
      <protection locked="0"/>
    </xf>
    <xf numFmtId="0" fontId="5" fillId="0" borderId="78" xfId="0" applyFont="1" applyBorder="1" applyAlignment="1">
      <alignment horizontal="center" vertical="center"/>
    </xf>
    <xf numFmtId="0" fontId="7" fillId="0" borderId="0" xfId="0" applyFont="1" applyAlignment="1" applyProtection="1">
      <alignment horizontal="left" vertical="center" wrapText="1"/>
      <protection locked="0"/>
    </xf>
    <xf numFmtId="0" fontId="55" fillId="0" borderId="85" xfId="0" applyFont="1" applyBorder="1" applyAlignment="1" applyProtection="1">
      <alignment horizontal="left" vertical="center" wrapText="1"/>
      <protection locked="0"/>
    </xf>
    <xf numFmtId="9" fontId="7" fillId="0" borderId="81" xfId="0" applyNumberFormat="1" applyFont="1" applyBorder="1" applyAlignment="1">
      <alignment vertical="center" wrapText="1"/>
    </xf>
    <xf numFmtId="9" fontId="7" fillId="0" borderId="81" xfId="0" applyNumberFormat="1" applyFont="1" applyBorder="1" applyAlignment="1" applyProtection="1">
      <alignment vertical="center" wrapText="1"/>
      <protection locked="0"/>
    </xf>
    <xf numFmtId="0" fontId="5" fillId="0" borderId="81" xfId="0" applyFont="1" applyBorder="1" applyAlignment="1">
      <alignment vertical="center"/>
    </xf>
    <xf numFmtId="0" fontId="55" fillId="0" borderId="86" xfId="0" applyFont="1" applyBorder="1" applyAlignment="1" applyProtection="1">
      <alignment horizontal="left" vertical="center" wrapText="1"/>
      <protection locked="0"/>
    </xf>
    <xf numFmtId="0" fontId="7" fillId="0" borderId="78" xfId="0" applyFont="1" applyBorder="1" applyAlignment="1" applyProtection="1">
      <alignment horizontal="left" vertical="center" wrapText="1"/>
      <protection locked="0"/>
    </xf>
    <xf numFmtId="0" fontId="51" fillId="0" borderId="8" xfId="0" applyFont="1" applyBorder="1" applyAlignment="1">
      <alignment horizontal="center" vertical="center"/>
    </xf>
    <xf numFmtId="49" fontId="52" fillId="0" borderId="13" xfId="0" applyNumberFormat="1" applyFont="1" applyBorder="1" applyAlignment="1">
      <alignment horizontal="center" vertical="center"/>
    </xf>
    <xf numFmtId="0" fontId="7" fillId="0" borderId="78" xfId="0" applyFont="1" applyBorder="1" applyAlignment="1" applyProtection="1">
      <alignment horizontal="center" vertical="center" textRotation="90"/>
      <protection locked="0"/>
    </xf>
    <xf numFmtId="9" fontId="7" fillId="0" borderId="78" xfId="0" applyNumberFormat="1" applyFont="1" applyBorder="1" applyAlignment="1">
      <alignment horizontal="center" vertical="center"/>
    </xf>
    <xf numFmtId="0" fontId="7" fillId="0" borderId="85" xfId="0" applyFont="1" applyBorder="1" applyAlignment="1" applyProtection="1">
      <alignment horizontal="center" vertical="center" textRotation="90"/>
      <protection locked="0"/>
    </xf>
    <xf numFmtId="178" fontId="7" fillId="0" borderId="78" xfId="0" applyNumberFormat="1" applyFont="1" applyBorder="1" applyAlignment="1">
      <alignment horizontal="center" vertical="center"/>
    </xf>
    <xf numFmtId="0" fontId="45" fillId="3" borderId="0" xfId="0" applyFont="1" applyFill="1" applyBorder="1"/>
    <xf numFmtId="0" fontId="22" fillId="0" borderId="0" xfId="0" applyFont="1" applyBorder="1" applyAlignment="1">
      <alignment horizontal="center" vertical="center" textRotation="90" wrapText="1"/>
    </xf>
    <xf numFmtId="0" fontId="5" fillId="16" borderId="81" xfId="0" applyFont="1" applyFill="1" applyBorder="1" applyAlignment="1">
      <alignment horizontal="center" vertical="center" textRotation="90" wrapText="1"/>
    </xf>
    <xf numFmtId="0" fontId="5" fillId="16" borderId="83" xfId="0" applyFont="1" applyFill="1" applyBorder="1" applyAlignment="1">
      <alignment horizontal="center" vertical="center" textRotation="90" wrapText="1"/>
    </xf>
    <xf numFmtId="0" fontId="5" fillId="0" borderId="78" xfId="0" applyFont="1" applyBorder="1" applyAlignment="1">
      <alignment horizontal="center" vertical="center" textRotation="90" wrapText="1"/>
    </xf>
    <xf numFmtId="0" fontId="5" fillId="0" borderId="78" xfId="0" applyFont="1" applyBorder="1" applyAlignment="1">
      <alignment horizontal="center" vertical="center" textRotation="90"/>
    </xf>
    <xf numFmtId="0" fontId="22" fillId="0" borderId="86" xfId="0" applyFont="1" applyBorder="1" applyAlignment="1">
      <alignment horizontal="center" vertical="center" textRotation="90"/>
    </xf>
    <xf numFmtId="0" fontId="7" fillId="0" borderId="81" xfId="0" applyFont="1" applyBorder="1" applyAlignment="1" applyProtection="1">
      <alignment horizontal="center" vertical="center" textRotation="90"/>
      <protection locked="0"/>
    </xf>
    <xf numFmtId="0" fontId="22" fillId="0" borderId="87" xfId="0" applyFont="1" applyBorder="1" applyAlignment="1">
      <alignment horizontal="center" vertical="center" textRotation="90"/>
    </xf>
    <xf numFmtId="0" fontId="7" fillId="0" borderId="82" xfId="0" applyFont="1" applyBorder="1" applyAlignment="1" applyProtection="1">
      <alignment horizontal="center" vertical="center" textRotation="90"/>
      <protection locked="0"/>
    </xf>
    <xf numFmtId="0" fontId="22" fillId="0" borderId="88" xfId="0" applyFont="1" applyBorder="1" applyAlignment="1">
      <alignment horizontal="center" vertical="center" textRotation="90"/>
    </xf>
    <xf numFmtId="0" fontId="7" fillId="0" borderId="83" xfId="0" applyFont="1" applyBorder="1" applyAlignment="1" applyProtection="1">
      <alignment horizontal="center" vertical="center" textRotation="90"/>
      <protection locked="0"/>
    </xf>
    <xf numFmtId="0" fontId="22" fillId="0" borderId="87" xfId="0" applyFont="1" applyBorder="1" applyAlignment="1" applyProtection="1">
      <alignment horizontal="center" vertical="center" textRotation="90"/>
      <protection locked="0"/>
    </xf>
    <xf numFmtId="0" fontId="45" fillId="0" borderId="0" xfId="0" applyFont="1"/>
    <xf numFmtId="0" fontId="49" fillId="0" borderId="89" xfId="0" applyFont="1" applyBorder="1" applyAlignment="1">
      <alignment horizontal="center" vertical="center"/>
    </xf>
    <xf numFmtId="0" fontId="50" fillId="0" borderId="8" xfId="0" applyFont="1" applyBorder="1" applyAlignment="1">
      <alignment horizontal="left" vertical="center"/>
    </xf>
    <xf numFmtId="0" fontId="49" fillId="0" borderId="13" xfId="0" applyFont="1" applyBorder="1" applyAlignment="1">
      <alignment horizontal="center" vertical="center"/>
    </xf>
    <xf numFmtId="0" fontId="52" fillId="0" borderId="13" xfId="0" applyFont="1" applyBorder="1" applyAlignment="1">
      <alignment horizontal="center" vertical="center"/>
    </xf>
    <xf numFmtId="0" fontId="52" fillId="0" borderId="11" xfId="0" applyFont="1" applyBorder="1" applyAlignment="1">
      <alignment horizontal="center" vertical="center"/>
    </xf>
    <xf numFmtId="58" fontId="7" fillId="0" borderId="78" xfId="0" applyNumberFormat="1" applyFont="1" applyBorder="1" applyAlignment="1" applyProtection="1">
      <alignment horizontal="center" vertical="center"/>
      <protection locked="0"/>
    </xf>
    <xf numFmtId="0" fontId="44" fillId="3" borderId="55" xfId="0" applyFont="1" applyFill="1" applyBorder="1" applyAlignment="1" quotePrefix="1">
      <alignment horizontal="left" vertical="top" wrapText="1"/>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12">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ont>
        <color rgb="FF9C0006"/>
      </font>
      <fill>
        <patternFill patternType="solid">
          <fgColor rgb="FFFFC7CE"/>
          <bgColor rgb="FFFFC7CE"/>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xr9:uid="{5D8674A2-4231-4FA6-A07E-68118E7E7FD7}">
      <tableStyleElement type="headerRow" dxfId="11"/>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1551214</xdr:colOff>
      <xdr:row>0</xdr:row>
      <xdr:rowOff>0</xdr:rowOff>
    </xdr:from>
    <xdr:to>
      <xdr:col>2</xdr:col>
      <xdr:colOff>1768929</xdr:colOff>
      <xdr:row>4</xdr:row>
      <xdr:rowOff>181198</xdr:rowOff>
    </xdr:to>
    <xdr:pic>
      <xdr:nvPicPr>
        <xdr:cNvPr id="2" name="Imagen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817370" y="0"/>
          <a:ext cx="178943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20-%20701575\Downloads\pe_f_055_mapa_riesgos_gestion_FORMULA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pa final"/>
      <sheetName val="Intructivo"/>
      <sheetName val="Matriz Calor Inherente"/>
      <sheetName val="Matriz Calor Residual"/>
      <sheetName val="Tabla probabilidad"/>
      <sheetName val="Tabla Impacto"/>
      <sheetName val="Tabla Valoración controles"/>
      <sheetName val="CONTROL DE CAMBIOS"/>
      <sheetName val="Opciones Tratamiento"/>
      <sheetName val="Hoja1"/>
    </sheetNames>
    <sheetDataSet>
      <sheetData sheetId="0"/>
      <sheetData sheetId="1"/>
      <sheetData sheetId="2"/>
      <sheetData sheetId="3"/>
      <sheetData sheetId="4"/>
      <sheetData sheetId="5">
        <row r="11">
          <cell r="C11" t="str">
            <v>Afectación menor a 10 SMLMV .</v>
          </cell>
          <cell r="D11" t="str">
            <v>El riesgo afecta la imagen de alguna área de la organización</v>
          </cell>
        </row>
        <row r="12">
          <cell r="C12" t="str">
            <v>Entre 10 y 50 SMLMV</v>
          </cell>
          <cell r="D12" t="str">
            <v>El riesgo afecta la imagen de la entidad internamente, de conocimiento general, nivel interno, de junta dircetiva y accionistas y/o de provedores</v>
          </cell>
        </row>
        <row r="13">
          <cell r="C13" t="str">
            <v>Entre 50 y 100 SMLMV</v>
          </cell>
          <cell r="D13" t="str">
            <v>El riesgo afecta la imagen de la entidad con algunos usuarios de relevancia frente al logro de los objetivos</v>
          </cell>
        </row>
        <row r="14">
          <cell r="C14" t="str">
            <v>Entre 100 y 500 SMLMV</v>
          </cell>
          <cell r="D14" t="str">
            <v>El riesgo afecta la imagen de de la entidad con efecto publicitario sostenido a nivel de sector administrativo, nivel departamental o municipal</v>
          </cell>
        </row>
        <row r="15">
          <cell r="C15" t="str">
            <v>Mayor a 500 SMLMV</v>
          </cell>
          <cell r="D15" t="str">
            <v>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row>
        <row r="223">
          <cell r="F223" t="str">
            <v>❌</v>
          </cell>
        </row>
      </sheetData>
      <sheetData sheetId="6"/>
      <sheetData sheetId="7"/>
      <sheetData sheetId="8"/>
      <sheetData sheetId="9"/>
    </sheetDataSet>
  </externalBook>
</externalLink>
</file>

<file path=xl/tables/table1.xml><?xml version="1.0" encoding="utf-8"?>
<table xmlns="http://schemas.openxmlformats.org/spreadsheetml/2006/main" id="1" name="Table_1" displayName="Table_1" ref="B209:C219">
  <tableColumns count="2">
    <tableColumn id="1" name="Criterios"/>
    <tableColumn id="2"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K48"/>
  <sheetViews>
    <sheetView showGridLines="0" tabSelected="1" zoomScale="60" zoomScaleNormal="60" topLeftCell="F15" workbookViewId="0">
      <selection activeCell="P31" sqref="P31"/>
    </sheetView>
  </sheetViews>
  <sheetFormatPr defaultColWidth="12.625" defaultRowHeight="16.5"/>
  <cols>
    <col min="1" max="1" width="3.5" style="222" customWidth="1"/>
    <col min="2" max="2" width="20.625" style="222" customWidth="1"/>
    <col min="3" max="5" width="26.375" style="222" customWidth="1"/>
    <col min="6" max="6" width="16.625" style="222" customWidth="1"/>
    <col min="7" max="7" width="15.625" style="222" customWidth="1"/>
    <col min="8" max="8" width="14.5" style="222" customWidth="1"/>
    <col min="9" max="9" width="6.5" style="222" customWidth="1"/>
    <col min="10" max="10" width="23.875" style="222" customWidth="1"/>
    <col min="11" max="11" width="26.75" style="222" customWidth="1"/>
    <col min="12" max="12" width="15.375" style="222" customWidth="1"/>
    <col min="13" max="13" width="5.5" style="222" customWidth="1"/>
    <col min="14" max="14" width="14" style="222" customWidth="1"/>
    <col min="15" max="15" width="5.125" style="222" customWidth="1"/>
    <col min="16" max="16" width="103.375" style="222" customWidth="1"/>
    <col min="17" max="17" width="13.25" style="222" customWidth="1"/>
    <col min="18" max="18" width="6" style="222" customWidth="1"/>
    <col min="19" max="19" width="4.375" style="222" customWidth="1"/>
    <col min="20" max="20" width="4.875" style="222" customWidth="1"/>
    <col min="21" max="21" width="6.25" style="222" customWidth="1"/>
    <col min="22" max="22" width="5.875" style="222" customWidth="1"/>
    <col min="23" max="23" width="6.625" style="222" customWidth="1"/>
    <col min="24" max="24" width="6.375" style="222" customWidth="1"/>
    <col min="25" max="25" width="7.625" style="222" customWidth="1"/>
    <col min="26" max="26" width="6.625" style="222" customWidth="1"/>
    <col min="27" max="27" width="8.125" style="222" customWidth="1"/>
    <col min="28" max="28" width="6.75" style="222" customWidth="1"/>
    <col min="29" max="29" width="7.375" style="222" customWidth="1"/>
    <col min="30" max="30" width="7.375" customWidth="1"/>
    <col min="31" max="31" width="8.375" style="222" customWidth="1"/>
    <col min="32" max="32" width="20.125" style="222" customWidth="1"/>
    <col min="33" max="33" width="16.5" style="222" customWidth="1"/>
    <col min="34" max="34" width="19.875" style="222" customWidth="1"/>
    <col min="35" max="35" width="17.875" style="222" customWidth="1"/>
    <col min="36" max="36" width="16.25" style="222" customWidth="1"/>
    <col min="37" max="37" width="18.375" style="222" customWidth="1"/>
    <col min="38" max="56" width="10" style="222" customWidth="1"/>
    <col min="57" max="16384" width="12.625" style="222"/>
  </cols>
  <sheetData>
    <row r="1" ht="23.25" spans="1:37">
      <c r="A1" s="223"/>
      <c r="B1" s="224"/>
      <c r="C1" s="224"/>
      <c r="D1" s="225"/>
      <c r="E1" s="226" t="s">
        <v>0</v>
      </c>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305"/>
    </row>
    <row r="2" ht="24" spans="1:37">
      <c r="A2" s="227"/>
      <c r="B2" s="228"/>
      <c r="C2" s="228"/>
      <c r="D2" s="229"/>
      <c r="E2" s="230" t="s">
        <v>1</v>
      </c>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306"/>
    </row>
    <row r="3" ht="23.25" spans="1:37">
      <c r="A3" s="227"/>
      <c r="B3" s="228"/>
      <c r="C3" s="228"/>
      <c r="D3" s="229"/>
      <c r="E3" s="231" t="s">
        <v>2</v>
      </c>
      <c r="F3" s="231"/>
      <c r="G3" s="231"/>
      <c r="H3" s="231"/>
      <c r="I3" s="231"/>
      <c r="J3" s="231"/>
      <c r="K3" s="231"/>
      <c r="L3" s="231"/>
      <c r="M3" s="231"/>
      <c r="N3" s="268"/>
      <c r="O3" s="268"/>
      <c r="P3" s="268"/>
      <c r="Q3" s="268"/>
      <c r="R3" s="268"/>
      <c r="S3" s="268"/>
      <c r="T3" s="268"/>
      <c r="U3" s="268"/>
      <c r="V3" s="268"/>
      <c r="W3" s="268"/>
      <c r="X3" s="268"/>
      <c r="Y3" s="231"/>
      <c r="Z3" s="231"/>
      <c r="AA3" s="231"/>
      <c r="AB3" s="231"/>
      <c r="AC3" s="231"/>
      <c r="AD3" s="231"/>
      <c r="AE3" s="231"/>
      <c r="AF3" s="231"/>
      <c r="AG3" s="231"/>
      <c r="AH3" s="231"/>
      <c r="AI3" s="231"/>
      <c r="AJ3" s="231"/>
      <c r="AK3" s="307"/>
    </row>
    <row r="4" spans="1:37">
      <c r="A4" s="227"/>
      <c r="B4" s="228"/>
      <c r="C4" s="228"/>
      <c r="D4" s="229"/>
      <c r="E4" s="232" t="s">
        <v>3</v>
      </c>
      <c r="F4" s="233"/>
      <c r="G4" s="233"/>
      <c r="H4" s="233"/>
      <c r="I4" s="233"/>
      <c r="J4" s="233"/>
      <c r="K4" s="233"/>
      <c r="L4" s="233"/>
      <c r="M4" s="233"/>
      <c r="N4" s="232" t="s">
        <v>4</v>
      </c>
      <c r="O4" s="233"/>
      <c r="P4" s="233"/>
      <c r="Q4" s="233"/>
      <c r="R4" s="233"/>
      <c r="S4" s="233"/>
      <c r="T4" s="233"/>
      <c r="U4" s="233"/>
      <c r="V4" s="233"/>
      <c r="W4" s="233"/>
      <c r="X4" s="285"/>
      <c r="Y4" s="233" t="s">
        <v>5</v>
      </c>
      <c r="Z4" s="233"/>
      <c r="AA4" s="233"/>
      <c r="AB4" s="233"/>
      <c r="AC4" s="233"/>
      <c r="AD4" s="233"/>
      <c r="AE4" s="233"/>
      <c r="AF4" s="233"/>
      <c r="AG4" s="285"/>
      <c r="AH4" s="232" t="s">
        <v>6</v>
      </c>
      <c r="AI4" s="233"/>
      <c r="AJ4" s="233"/>
      <c r="AK4" s="285"/>
    </row>
    <row r="5" ht="18" spans="1:37">
      <c r="A5" s="234"/>
      <c r="B5" s="235"/>
      <c r="C5" s="235"/>
      <c r="D5" s="236"/>
      <c r="E5" s="237">
        <v>45782</v>
      </c>
      <c r="F5" s="238"/>
      <c r="G5" s="238"/>
      <c r="H5" s="238"/>
      <c r="I5" s="238"/>
      <c r="J5" s="238"/>
      <c r="K5" s="238"/>
      <c r="L5" s="238"/>
      <c r="M5" s="238"/>
      <c r="N5" s="269" t="s">
        <v>7</v>
      </c>
      <c r="O5" s="270"/>
      <c r="P5" s="270"/>
      <c r="Q5" s="270"/>
      <c r="R5" s="270"/>
      <c r="S5" s="270"/>
      <c r="T5" s="270"/>
      <c r="U5" s="270"/>
      <c r="V5" s="270"/>
      <c r="W5" s="270"/>
      <c r="X5" s="286"/>
      <c r="Y5" s="238" t="s">
        <v>8</v>
      </c>
      <c r="Z5" s="238"/>
      <c r="AA5" s="238"/>
      <c r="AB5" s="238"/>
      <c r="AC5" s="238"/>
      <c r="AD5" s="238"/>
      <c r="AE5" s="238"/>
      <c r="AF5" s="238"/>
      <c r="AG5" s="308"/>
      <c r="AH5" s="309" t="s">
        <v>9</v>
      </c>
      <c r="AI5" s="238"/>
      <c r="AJ5" s="238"/>
      <c r="AK5" s="308"/>
    </row>
    <row r="6" spans="30:30">
      <c r="AD6" s="291"/>
    </row>
    <row r="7" spans="1:37">
      <c r="A7" s="239" t="s">
        <v>10</v>
      </c>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row>
    <row r="8" spans="1:37">
      <c r="A8" s="239"/>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row>
    <row r="9" spans="1:37">
      <c r="A9" s="240"/>
      <c r="B9" s="240"/>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row>
    <row r="10" ht="18" spans="1:37">
      <c r="A10" s="241" t="s">
        <v>11</v>
      </c>
      <c r="B10" s="242"/>
      <c r="C10" s="243" t="s">
        <v>12</v>
      </c>
      <c r="D10" s="244"/>
      <c r="E10" s="244"/>
      <c r="F10" s="244"/>
      <c r="G10" s="244"/>
      <c r="H10" s="244"/>
      <c r="I10" s="244"/>
      <c r="J10" s="244"/>
      <c r="K10" s="244"/>
      <c r="L10" s="244"/>
      <c r="M10" s="244"/>
      <c r="N10" s="271"/>
      <c r="O10" s="240"/>
      <c r="P10" s="272"/>
      <c r="Q10" s="272"/>
      <c r="R10" s="240"/>
      <c r="S10" s="240"/>
      <c r="T10" s="240"/>
      <c r="U10" s="240"/>
      <c r="V10" s="240"/>
      <c r="W10" s="240"/>
      <c r="X10" s="240"/>
      <c r="Y10" s="240"/>
      <c r="Z10" s="240"/>
      <c r="AA10" s="240"/>
      <c r="AB10" s="240"/>
      <c r="AC10" s="240"/>
      <c r="AD10" s="292"/>
      <c r="AE10" s="240"/>
      <c r="AF10" s="240"/>
      <c r="AG10" s="240"/>
      <c r="AH10" s="240"/>
      <c r="AI10" s="240"/>
      <c r="AJ10" s="240"/>
      <c r="AK10" s="240"/>
    </row>
    <row r="11" ht="45.95" customHeight="1" spans="1:37">
      <c r="A11" s="241" t="s">
        <v>13</v>
      </c>
      <c r="B11" s="242"/>
      <c r="C11" s="245" t="s">
        <v>14</v>
      </c>
      <c r="D11" s="246"/>
      <c r="E11" s="246"/>
      <c r="F11" s="246"/>
      <c r="G11" s="246"/>
      <c r="H11" s="246"/>
      <c r="I11" s="246"/>
      <c r="J11" s="246"/>
      <c r="K11" s="246"/>
      <c r="L11" s="246"/>
      <c r="M11" s="246"/>
      <c r="N11" s="273"/>
      <c r="O11" s="240"/>
      <c r="P11" s="240"/>
      <c r="Q11" s="240"/>
      <c r="R11" s="240"/>
      <c r="S11" s="240"/>
      <c r="T11" s="240"/>
      <c r="U11" s="240"/>
      <c r="V11" s="240"/>
      <c r="W11" s="240"/>
      <c r="X11" s="240"/>
      <c r="Y11" s="240"/>
      <c r="Z11" s="240"/>
      <c r="AA11" s="240"/>
      <c r="AB11" s="240"/>
      <c r="AC11" s="240"/>
      <c r="AD11" s="292"/>
      <c r="AE11" s="240"/>
      <c r="AF11" s="240"/>
      <c r="AG11" s="240"/>
      <c r="AH11" s="240"/>
      <c r="AI11" s="240"/>
      <c r="AJ11" s="240"/>
      <c r="AK11" s="240"/>
    </row>
    <row r="12" ht="102.95" customHeight="1" spans="1:37">
      <c r="A12" s="241" t="s">
        <v>15</v>
      </c>
      <c r="B12" s="242"/>
      <c r="C12" s="245" t="s">
        <v>16</v>
      </c>
      <c r="D12" s="244"/>
      <c r="E12" s="244"/>
      <c r="F12" s="244"/>
      <c r="G12" s="244"/>
      <c r="H12" s="244"/>
      <c r="I12" s="244"/>
      <c r="J12" s="244"/>
      <c r="K12" s="244"/>
      <c r="L12" s="244"/>
      <c r="M12" s="244"/>
      <c r="N12" s="271"/>
      <c r="O12" s="240"/>
      <c r="P12" s="240"/>
      <c r="Q12" s="240"/>
      <c r="R12" s="240"/>
      <c r="S12" s="240"/>
      <c r="T12" s="240"/>
      <c r="U12" s="240"/>
      <c r="V12" s="240"/>
      <c r="W12" s="240"/>
      <c r="X12" s="240"/>
      <c r="Y12" s="240"/>
      <c r="Z12" s="240"/>
      <c r="AA12" s="240"/>
      <c r="AB12" s="240"/>
      <c r="AC12" s="240"/>
      <c r="AD12" s="292"/>
      <c r="AE12" s="240"/>
      <c r="AF12" s="240"/>
      <c r="AG12" s="240"/>
      <c r="AH12" s="240"/>
      <c r="AI12" s="240"/>
      <c r="AJ12" s="240"/>
      <c r="AK12" s="240"/>
    </row>
    <row r="13" s="221" customFormat="1" spans="1:37">
      <c r="A13" s="239" t="s">
        <v>17</v>
      </c>
      <c r="B13" s="247"/>
      <c r="C13" s="247"/>
      <c r="D13" s="247"/>
      <c r="E13" s="247"/>
      <c r="F13" s="247"/>
      <c r="G13" s="247"/>
      <c r="H13" s="239" t="s">
        <v>18</v>
      </c>
      <c r="I13" s="247"/>
      <c r="J13" s="247"/>
      <c r="K13" s="247"/>
      <c r="L13" s="247"/>
      <c r="M13" s="247"/>
      <c r="N13" s="247"/>
      <c r="O13" s="239" t="s">
        <v>19</v>
      </c>
      <c r="P13" s="247"/>
      <c r="Q13" s="247"/>
      <c r="R13" s="247"/>
      <c r="S13" s="247"/>
      <c r="T13" s="247"/>
      <c r="U13" s="247"/>
      <c r="V13" s="247"/>
      <c r="W13" s="247"/>
      <c r="X13" s="239" t="s">
        <v>20</v>
      </c>
      <c r="Y13" s="247"/>
      <c r="Z13" s="247"/>
      <c r="AA13" s="247"/>
      <c r="AB13" s="247"/>
      <c r="AC13" s="247"/>
      <c r="AD13" s="247"/>
      <c r="AE13" s="247"/>
      <c r="AF13" s="239" t="s">
        <v>21</v>
      </c>
      <c r="AG13" s="247"/>
      <c r="AH13" s="247"/>
      <c r="AI13" s="247"/>
      <c r="AJ13" s="247"/>
      <c r="AK13" s="247"/>
    </row>
    <row r="14" s="221" customFormat="1" spans="1:37">
      <c r="A14" s="248" t="s">
        <v>22</v>
      </c>
      <c r="B14" s="239" t="s">
        <v>23</v>
      </c>
      <c r="C14" s="249" t="s">
        <v>24</v>
      </c>
      <c r="D14" s="249" t="s">
        <v>25</v>
      </c>
      <c r="E14" s="239" t="s">
        <v>26</v>
      </c>
      <c r="F14" s="249" t="s">
        <v>27</v>
      </c>
      <c r="G14" s="249" t="s">
        <v>28</v>
      </c>
      <c r="H14" s="249" t="s">
        <v>29</v>
      </c>
      <c r="I14" s="239" t="s">
        <v>30</v>
      </c>
      <c r="J14" s="249" t="s">
        <v>31</v>
      </c>
      <c r="K14" s="249" t="s">
        <v>32</v>
      </c>
      <c r="L14" s="249" t="s">
        <v>33</v>
      </c>
      <c r="M14" s="239" t="s">
        <v>30</v>
      </c>
      <c r="N14" s="249" t="s">
        <v>34</v>
      </c>
      <c r="O14" s="274" t="s">
        <v>35</v>
      </c>
      <c r="P14" s="249" t="s">
        <v>36</v>
      </c>
      <c r="Q14" s="249" t="s">
        <v>37</v>
      </c>
      <c r="R14" s="249" t="s">
        <v>38</v>
      </c>
      <c r="S14" s="247"/>
      <c r="T14" s="247"/>
      <c r="U14" s="247"/>
      <c r="V14" s="247"/>
      <c r="W14" s="247"/>
      <c r="X14" s="274" t="s">
        <v>39</v>
      </c>
      <c r="Y14" s="274" t="s">
        <v>40</v>
      </c>
      <c r="Z14" s="274" t="s">
        <v>30</v>
      </c>
      <c r="AA14" s="274" t="s">
        <v>41</v>
      </c>
      <c r="AB14" s="274" t="s">
        <v>30</v>
      </c>
      <c r="AC14" s="274" t="s">
        <v>42</v>
      </c>
      <c r="AD14" s="293" t="s">
        <v>43</v>
      </c>
      <c r="AE14" s="274" t="s">
        <v>44</v>
      </c>
      <c r="AF14" s="249" t="s">
        <v>21</v>
      </c>
      <c r="AG14" s="249" t="s">
        <v>45</v>
      </c>
      <c r="AH14" s="249" t="s">
        <v>46</v>
      </c>
      <c r="AI14" s="249" t="s">
        <v>47</v>
      </c>
      <c r="AJ14" s="249" t="s">
        <v>48</v>
      </c>
      <c r="AK14" s="249" t="s">
        <v>49</v>
      </c>
    </row>
    <row r="15" s="221" customFormat="1" ht="95.3" spans="1:37">
      <c r="A15" s="247"/>
      <c r="B15" s="247"/>
      <c r="C15" s="247"/>
      <c r="D15" s="247"/>
      <c r="E15" s="247"/>
      <c r="F15" s="247"/>
      <c r="G15" s="247"/>
      <c r="H15" s="247"/>
      <c r="I15" s="247"/>
      <c r="J15" s="247"/>
      <c r="K15" s="247"/>
      <c r="L15" s="247"/>
      <c r="M15" s="247"/>
      <c r="N15" s="247"/>
      <c r="O15" s="247"/>
      <c r="P15" s="247"/>
      <c r="Q15" s="247"/>
      <c r="R15" s="248" t="s">
        <v>50</v>
      </c>
      <c r="S15" s="248" t="s">
        <v>51</v>
      </c>
      <c r="T15" s="248" t="s">
        <v>52</v>
      </c>
      <c r="U15" s="248" t="s">
        <v>53</v>
      </c>
      <c r="V15" s="248" t="s">
        <v>54</v>
      </c>
      <c r="W15" s="248" t="s">
        <v>55</v>
      </c>
      <c r="X15" s="247"/>
      <c r="Y15" s="247"/>
      <c r="Z15" s="247"/>
      <c r="AA15" s="247"/>
      <c r="AB15" s="247"/>
      <c r="AC15" s="247"/>
      <c r="AD15" s="294"/>
      <c r="AE15" s="247"/>
      <c r="AF15" s="247"/>
      <c r="AG15" s="247"/>
      <c r="AH15" s="247"/>
      <c r="AI15" s="247"/>
      <c r="AJ15" s="247"/>
      <c r="AK15" s="247"/>
    </row>
    <row r="16" ht="99" customHeight="1" spans="1:37">
      <c r="A16" s="250">
        <v>1</v>
      </c>
      <c r="B16" s="251" t="s">
        <v>56</v>
      </c>
      <c r="C16" s="251" t="s">
        <v>57</v>
      </c>
      <c r="D16" s="251" t="s">
        <v>58</v>
      </c>
      <c r="E16" s="251" t="s">
        <v>59</v>
      </c>
      <c r="F16" s="251" t="s">
        <v>60</v>
      </c>
      <c r="G16" s="252">
        <v>192</v>
      </c>
      <c r="H16" s="253" t="str">
        <f>IF(G16&lt;=0,"",IF(G16&lt;=2,"Muy Baja",IF(G16&lt;=24,"Baja",IF(G16&lt;=500,"Media",IF(G16&lt;=5000,"Alta","Muy Alta")))))</f>
        <v>Media</v>
      </c>
      <c r="I16" s="275">
        <f>IF(H16="","",IF(H16="Muy Baja",0.2,IF(H16="Baja",0.4,IF(H16="Media",0.6,IF(H16="Alta",0.8,IF(H16="Muy Alta",1,))))))</f>
        <v>0.6</v>
      </c>
      <c r="J16" s="276" t="s">
        <v>61</v>
      </c>
      <c r="K16" s="275" t="str">
        <f>IF(NOT(ISERROR(MATCH(J16,'[1]Tabla Impacto'!$B$221:$B$223,0))),'[1]Tabla Impacto'!$F$223&amp;"Por favor no seleccionar los criterios de impacto(Afectación Económica o presupuestal y Pérdida Reputacional)",J16)</f>
        <v>El riesgo afecta la imagen de alguna área de la organización</v>
      </c>
      <c r="L16" s="253" t="str">
        <f>IF(OR(K16='[1]Tabla Impacto'!$C$11,K16='[1]Tabla Impacto'!$D$11),"Leve",IF(OR(K16='[1]Tabla Impacto'!$C$12,K16='[1]Tabla Impacto'!$D$12),"Menor",IF(OR(K16='[1]Tabla Impacto'!$C$13,K16='[1]Tabla Impacto'!$D$13),"Moderado",IF(OR(K16='[1]Tabla Impacto'!$C$14,K16='[1]Tabla Impacto'!$D$14),"Mayor",IF(OR(K16='[1]Tabla Impacto'!$C$15,K16='[1]Tabla Impacto'!$D$15),"Catastrófico","")))))</f>
        <v>Leve</v>
      </c>
      <c r="M16" s="275">
        <f>IF(L16="","",IF(L16="Leve",0.2,IF(L16="Menor",0.4,IF(L16="Moderado",0.6,IF(L16="Mayor",0.8,IF(L16="Catastrófico",1,))))))</f>
        <v>0.2</v>
      </c>
      <c r="N16" s="277"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252">
        <v>1</v>
      </c>
      <c r="P16" s="278" t="s">
        <v>62</v>
      </c>
      <c r="Q16" s="265" t="str">
        <f t="shared" ref="Q16:Q43" si="0">IF(OR(R16="Preventivo",R16="Detectivo"),"Probabilidad",IF(R16="Correctivo","Impacto",""))</f>
        <v>Probabilidad</v>
      </c>
      <c r="R16" s="287" t="s">
        <v>63</v>
      </c>
      <c r="S16" s="287" t="s">
        <v>64</v>
      </c>
      <c r="T16" s="288" t="str">
        <f t="shared" ref="T16:T40" si="1">IF(AND(R16="Preventivo",S16="Automático"),"50%",IF(AND(R16="Preventivo",S16="Manual"),"40%",IF(AND(R16="Detectivo",S16="Automático"),"40%",IF(AND(R16="Detectivo",S16="Manual"),"30%",IF(AND(R16="Correctivo",S16="Automático"),"35%",IF(AND(R16="Correctivo",S16="Manual"),"25%",""))))))</f>
        <v>40%</v>
      </c>
      <c r="U16" s="289" t="s">
        <v>65</v>
      </c>
      <c r="V16" s="289" t="s">
        <v>66</v>
      </c>
      <c r="W16" s="289" t="s">
        <v>67</v>
      </c>
      <c r="X16" s="290">
        <f>IFERROR(IF(Q16="Probabilidad",(I16-(+I16*T16)),IF(Q16="Impacto",I16,"")),"")</f>
        <v>0.36</v>
      </c>
      <c r="Y16" s="295" t="str">
        <f t="shared" ref="Y16:Y43" si="2">IFERROR(IF(X16="","",IF(X16&lt;=0.2,"Muy Baja",IF(X16&lt;=0.4,"Baja",IF(X16&lt;=0.6,"Media",IF(X16&lt;=0.8,"Alta","Muy Alta"))))),"")</f>
        <v>Baja</v>
      </c>
      <c r="Z16" s="288">
        <f t="shared" ref="Z16:Z43" si="3">+X16</f>
        <v>0.36</v>
      </c>
      <c r="AA16" s="295" t="str">
        <f t="shared" ref="AA16:AA43" si="4">IFERROR(IF(AB16="","",IF(AB16&lt;=0.2,"Leve",IF(AB16&lt;=0.4,"Menor",IF(AB16&lt;=0.6,"Moderado",IF(AB16&lt;=0.8,"Mayor","Catastrófico"))))),"")</f>
        <v>Leve</v>
      </c>
      <c r="AB16" s="288">
        <f>IFERROR(IF(Q16="Impacto",(M16-(+M16*T16)),IF(Q16="Probabilidad",M16,"")),"")</f>
        <v>0.2</v>
      </c>
      <c r="AC16" s="296" t="str">
        <f t="shared" ref="AC16:AC43" si="5">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Bajo</v>
      </c>
      <c r="AD16" s="297" t="str">
        <f>IFERROR(IF(OR(AND(AC16="Bajo",AC17="Bajo",AC18="Bajo"),AND(AC16="Bajo",AC17="Bajo",AC18=""),AND(AC16="Bajo",AC17="",AC18="")),"Bajo",IF(OR(AND(AC16="Bajo",AC17="Bajo",AC18="Moderado"),AND(AC16="Bajo",AC17="Moderado",AC18="Moderado"),AND(AC16="Moderado",AC17="Moderado",AC18="Moderado"),AND(AC16="Bajo",AC17="Moderado",AC18=""),AND(AC16="Moderado",AC17="Bajo",AC18=""),AND(AC16="Moderado",AC17="Moderado",AC18=""),AND(AC16="Moderado",AC17="",AC18="")),"Moderado",IF(OR(AND(AC16="Bajo",AC17="Bajo",AC18="Alto"),AND(AC16="Bajo",AC17="Moderado",AC18="Alto"),AND(AC16="Moderado",AC17="Bajo",AC18="Alto"),AND(AC16="Moderado",AC17="Alto",AC18="Bajo"),AND(AC16="Moderado",AC17="Moderado",AC18="Alto"),AND(AC16="Alto",AC17="Bajo",AC18="Bajo"),AND(AC16="Alto",AC17="Moderado",AC18="Bajo"),AND(AC16="Alto",AC17="Moderado",AC18="Moderado"),AND(AC16="Alto",AC17="Alto",AC18="Bajo"),AND(AC16="Alto",AC17="Alto",AC18="Moderado"),AND(AC16="Alto",AC17="Alto",AC18="Alto"),AND(AC16="Alto",AC17="Bajo",AC18=""),AND(AC16="Alto",AC17="Moderado",AC18=""),AND(AC16="Alto",AC17="Alto",AC18=""),AND(AC16="Bajo",AC17="Alto",AC18=""),AND(AC16="Moderado",AC17="Alto",AC18=""),AND(AC16="Alto",AC17="",AC18="")),"Alto",IF(OR(AND(AC16="Bajo",AC17="Bajo",AC18="Extremo"),AND(AC16="Bajo",AC17="Moderado",AC18="Extremo"),AND(AC16="Bajo",AC17="Alto",AC18="Extremo"),AND(AC16="Moderado",AC17="Bajo",AC18="Extremo"),AND(AC16="Moderado",AC17="Alto",AC18="Extremo"),AND(AC16="Moderado",AC17="Moderado",AC18="Extremo"),AND(AC16="Alto",AC17="Bajo",AC18="Extremo"),AND(AC16="Alto",AC17="Moderado",AC18="Extremo"),AND(AC16="Alto",AC17="Alto",AC18="Extremo"),AND(AC16="Extremo",AC17="Bajo",AC18="Bajo"),AND(AC16="Extremo",AC17="Bajo",AC18="Moderado"),AND(AC16="Extremo",AC17="Bajo",AC18="Alto"),AND(AC16="Extremo",AC17="Moderado",AC18="Bajo"),AND(AC16="Extremo",AC17="Moderado",AC18="Moderado"),AND(AC16="Extremo",AC17="Moderado",AC18="Alto"),AND(AC16="Extremo",AC17="Alto",AC18="Bajo"),AND(AC16="Extremo",AC17="Alto",AC18="Moderado"),AND(AC16="Extremo",AC17="Alto",AC18="Alto"),AND(AC16="Extremo",AC17="Extremo",AC18="Bajo"),AND(AC16="Extremo",AC17="Extremo",AC18="Moderado"),AND(AC16="Extremo",AC17="Extremo",AC18="Alto"),AND(AC16="Extremo",AC17="Extremo",AC18="Extremo"),AND(AC16="Extremo",AC17="Bajo",AC18=""),AND(AC16="Extremo",AC17="Moderado",AC18=""),AND(AC16="Extremo",AC17="Alto",AC18=""),AND(AC16="Extremo",AC17="",AC18="")),"Extremo")))),"")</f>
        <v>Bajo</v>
      </c>
      <c r="AE16" s="298" t="s">
        <v>68</v>
      </c>
      <c r="AF16" s="251"/>
      <c r="AG16" s="251"/>
      <c r="AH16" s="310"/>
      <c r="AI16" s="310"/>
      <c r="AJ16" s="251"/>
      <c r="AK16" s="252"/>
    </row>
    <row r="17" ht="105.75" customHeight="1" spans="1:37">
      <c r="A17" s="254"/>
      <c r="B17" s="255"/>
      <c r="C17" s="251"/>
      <c r="D17" s="251"/>
      <c r="E17" s="255"/>
      <c r="F17" s="255"/>
      <c r="G17" s="255"/>
      <c r="H17" s="247"/>
      <c r="I17" s="247"/>
      <c r="J17" s="255"/>
      <c r="K17" s="247"/>
      <c r="L17" s="247"/>
      <c r="M17" s="247"/>
      <c r="N17" s="247"/>
      <c r="O17" s="252">
        <v>2</v>
      </c>
      <c r="P17" s="278" t="s">
        <v>69</v>
      </c>
      <c r="Q17" s="265" t="str">
        <f t="shared" si="0"/>
        <v>Probabilidad</v>
      </c>
      <c r="R17" s="287" t="s">
        <v>63</v>
      </c>
      <c r="S17" s="287" t="s">
        <v>70</v>
      </c>
      <c r="T17" s="288" t="str">
        <f t="shared" ref="T17:T18" si="6">IF(AND(R17="Preventivo",S17="Automático"),"50%",IF(AND(R17="Preventivo",S17="Manual"),"40%",IF(AND(R17="Detectivo",S17="Automático"),"40%",IF(AND(R17="Detectivo",S17="Manual"),"30%",IF(AND(R17="Correctivo",S17="Automático"),"35%",IF(AND(R17="Correctivo",S17="Manual"),"25%",""))))))</f>
        <v>50%</v>
      </c>
      <c r="U17" s="289" t="s">
        <v>65</v>
      </c>
      <c r="V17" s="289" t="s">
        <v>66</v>
      </c>
      <c r="W17" s="289" t="s">
        <v>67</v>
      </c>
      <c r="X17" s="290">
        <f>IFERROR(IF(AND(Q16="Probabilidad",Q17="Probabilidad"),(Z16-(+Z16*T17)),IF(Q17="Probabilidad",(I16-(+I16*T17)),IF(Q17="Impacto",Z16,""))),"")</f>
        <v>0.18</v>
      </c>
      <c r="Y17" s="295" t="str">
        <f t="shared" si="2"/>
        <v>Muy Baja</v>
      </c>
      <c r="Z17" s="288">
        <f t="shared" si="3"/>
        <v>0.18</v>
      </c>
      <c r="AA17" s="295" t="str">
        <f t="shared" si="4"/>
        <v>Leve</v>
      </c>
      <c r="AB17" s="288">
        <f>IFERROR(IF(AND(Q16="Impacto",Q17="Impacto"),(AB16-(+AB16*T17)),IF(Q17="Impacto",($M$16-(+$M$16*T17)),IF(Q17="Probabilidad",AB16,""))),"")</f>
        <v>0.2</v>
      </c>
      <c r="AC17" s="296" t="str">
        <f t="shared" si="5"/>
        <v>Bajo</v>
      </c>
      <c r="AD17" s="299"/>
      <c r="AE17" s="300"/>
      <c r="AF17" s="251"/>
      <c r="AG17" s="251"/>
      <c r="AH17" s="310"/>
      <c r="AI17" s="310"/>
      <c r="AJ17" s="251"/>
      <c r="AK17" s="252"/>
    </row>
    <row r="18" ht="39.75" customHeight="1" spans="1:37">
      <c r="A18" s="256"/>
      <c r="B18" s="255"/>
      <c r="C18" s="251"/>
      <c r="D18" s="251"/>
      <c r="E18" s="255"/>
      <c r="F18" s="255"/>
      <c r="G18" s="255"/>
      <c r="H18" s="247"/>
      <c r="I18" s="247"/>
      <c r="J18" s="255"/>
      <c r="K18" s="247"/>
      <c r="L18" s="247"/>
      <c r="M18" s="247"/>
      <c r="N18" s="247"/>
      <c r="O18" s="252">
        <v>3</v>
      </c>
      <c r="P18" s="279"/>
      <c r="Q18" s="265" t="str">
        <f t="shared" si="0"/>
        <v/>
      </c>
      <c r="R18" s="287"/>
      <c r="S18" s="287"/>
      <c r="T18" s="288" t="str">
        <f t="shared" si="6"/>
        <v/>
      </c>
      <c r="U18" s="289"/>
      <c r="V18" s="289"/>
      <c r="W18" s="289"/>
      <c r="X18" s="290" t="str">
        <f>IFERROR(IF(AND(Q17="Probabilidad",Q18="Probabilidad"),(Z17-(+Z17*T18)),IF(AND(Q17="Impacto",Q18="Probabilidad"),(Z16-(+Z16*T18)),IF(Q18="Impacto",Z17,""))),"")</f>
        <v/>
      </c>
      <c r="Y18" s="295" t="str">
        <f t="shared" si="2"/>
        <v/>
      </c>
      <c r="Z18" s="288" t="str">
        <f t="shared" si="3"/>
        <v/>
      </c>
      <c r="AA18" s="295" t="str">
        <f t="shared" si="4"/>
        <v/>
      </c>
      <c r="AB18" s="288" t="str">
        <f>IFERROR(IF(AND(Q17="Impacto",Q18="Impacto"),(AB17-(+AB17*T18)),IF(AND(Q17="Probabilidad",Q18="Impacto"),(AB16-(+AB16*T18)),IF(Q18="Probabilidad",AB17,""))),"")</f>
        <v/>
      </c>
      <c r="AC18" s="296" t="str">
        <f t="shared" si="5"/>
        <v/>
      </c>
      <c r="AD18" s="301"/>
      <c r="AE18" s="302"/>
      <c r="AF18" s="251"/>
      <c r="AG18" s="251"/>
      <c r="AH18" s="310"/>
      <c r="AI18" s="310"/>
      <c r="AJ18" s="251"/>
      <c r="AK18" s="252"/>
    </row>
    <row r="19" ht="18.75" hidden="1" customHeight="1" spans="1:37">
      <c r="A19" s="256"/>
      <c r="B19" s="257"/>
      <c r="C19" s="257"/>
      <c r="D19" s="257"/>
      <c r="E19" s="257"/>
      <c r="F19" s="257"/>
      <c r="G19" s="258"/>
      <c r="H19" s="259" t="str">
        <f>IF(G19&lt;=0,"",IF(G19&lt;=2,"Muy Baja",IF(G19&lt;=24,"Baja",IF(G19&lt;=500,"Media",IF(G19&lt;=5000,"Alta","Muy Alta")))))</f>
        <v/>
      </c>
      <c r="I19" s="280" t="str">
        <f>IF(H19="","",IF(H19="Muy Baja",0.2,IF(H19="Baja",0.4,IF(H19="Media",0.6,IF(H19="Alta",0.8,IF(H19="Muy Alta",1,))))))</f>
        <v/>
      </c>
      <c r="J19" s="281"/>
      <c r="K19" s="280">
        <f>IF(NOT(ISERROR(MATCH(J19,'Tabla Impacto'!$B$221:$B$223,0))),'Tabla Impacto'!$F$223&amp;"Por favor no seleccionar los criterios de impacto(Afectación Económica o presupuestal y Pérdida Reputacional)",J19)</f>
        <v>0</v>
      </c>
      <c r="L19" s="259" t="str">
        <f>IF(OR(K19='Tabla Impacto'!$C$11,K19='Tabla Impacto'!$D$11),"Leve",IF(OR(K19='Tabla Impacto'!$C$12,K19='Tabla Impacto'!$D$12),"Menor",IF(OR(K19='Tabla Impacto'!$C$13,K19='Tabla Impacto'!$D$13),"Moderado",IF(OR(K19='Tabla Impacto'!$C$14,K19='Tabla Impacto'!$D$14),"Mayor",IF(OR(K19='Tabla Impacto'!$C$15,K19='Tabla Impacto'!$D$15),"Catastrófico","")))))</f>
        <v/>
      </c>
      <c r="M19" s="280" t="str">
        <f>IF(L19="","",IF(L19="Leve",0.2,IF(L19="Menor",0.4,IF(L19="Moderado",0.6,IF(L19="Mayor",0.8,IF(L19="Catastrófico",1,))))))</f>
        <v/>
      </c>
      <c r="N19" s="282" t="str">
        <f>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
      </c>
      <c r="O19" s="252"/>
      <c r="P19" s="279"/>
      <c r="Q19" s="265" t="str">
        <f t="shared" si="0"/>
        <v/>
      </c>
      <c r="R19" s="287"/>
      <c r="S19" s="287"/>
      <c r="T19" s="288" t="str">
        <f t="shared" si="1"/>
        <v/>
      </c>
      <c r="U19" s="287"/>
      <c r="V19" s="287"/>
      <c r="W19" s="287"/>
      <c r="X19" s="290" t="str">
        <f t="shared" ref="X19:X41" si="7">IFERROR(IF(Q19="Probabilidad",(I19-(+I19*T19)),IF(Q19="Impacto",I19,"")),"")</f>
        <v/>
      </c>
      <c r="Y19" s="295" t="str">
        <f t="shared" si="2"/>
        <v/>
      </c>
      <c r="Z19" s="288" t="str">
        <f t="shared" si="3"/>
        <v/>
      </c>
      <c r="AA19" s="295" t="str">
        <f t="shared" si="4"/>
        <v/>
      </c>
      <c r="AB19" s="288" t="str">
        <f t="shared" ref="AB19:AB41" si="8">IFERROR(IF(Q19="Impacto",(M19-(+M19*T19)),IF(Q19="Probabilidad",M19,"")),"")</f>
        <v/>
      </c>
      <c r="AC19" s="296" t="str">
        <f t="shared" si="5"/>
        <v/>
      </c>
      <c r="AD19" s="299"/>
      <c r="AE19" s="287"/>
      <c r="AF19" s="251"/>
      <c r="AG19" s="251"/>
      <c r="AH19" s="310"/>
      <c r="AI19" s="310"/>
      <c r="AJ19" s="251"/>
      <c r="AK19" s="252"/>
    </row>
    <row r="20" ht="18.75" hidden="1" customHeight="1" spans="1:37">
      <c r="A20" s="255"/>
      <c r="B20" s="257"/>
      <c r="C20" s="257"/>
      <c r="D20" s="257"/>
      <c r="E20" s="257"/>
      <c r="F20" s="257"/>
      <c r="G20" s="258"/>
      <c r="H20" s="259" t="str">
        <f>IF(G20&lt;=0,"",IF(G20&lt;=2,"Muy Baja",IF(G20&lt;=24,"Baja",IF(G20&lt;=500,"Media",IF(G20&lt;=5000,"Alta","Muy Alta")))))</f>
        <v/>
      </c>
      <c r="I20" s="280" t="str">
        <f>IF(H20="","",IF(H20="Muy Baja",0.2,IF(H20="Baja",0.4,IF(H20="Media",0.6,IF(H20="Alta",0.8,IF(H20="Muy Alta",1,))))))</f>
        <v/>
      </c>
      <c r="J20" s="281"/>
      <c r="K20" s="280">
        <f>IF(NOT(ISERROR(MATCH(J20,'Tabla Impacto'!$B$221:$B$223,0))),'Tabla Impacto'!$F$223&amp;"Por favor no seleccionar los criterios de impacto(Afectación Económica o presupuestal y Pérdida Reputacional)",J20)</f>
        <v>0</v>
      </c>
      <c r="L20" s="259" t="str">
        <f>IF(OR(K20='Tabla Impacto'!$C$11,K20='Tabla Impacto'!$D$11),"Leve",IF(OR(K20='Tabla Impacto'!$C$12,K20='Tabla Impacto'!$D$12),"Menor",IF(OR(K20='Tabla Impacto'!$C$13,K20='Tabla Impacto'!$D$13),"Moderado",IF(OR(K20='Tabla Impacto'!$C$14,K20='Tabla Impacto'!$D$14),"Mayor",IF(OR(K20='Tabla Impacto'!$C$15,K20='Tabla Impacto'!$D$15),"Catastrófico","")))))</f>
        <v/>
      </c>
      <c r="M20" s="280" t="str">
        <f>IF(L20="","",IF(L20="Leve",0.2,IF(L20="Menor",0.4,IF(L20="Moderado",0.6,IF(L20="Mayor",0.8,IF(L20="Catastrófico",1,))))))</f>
        <v/>
      </c>
      <c r="N20" s="282" t="str">
        <f>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
      </c>
      <c r="O20" s="252"/>
      <c r="P20" s="283"/>
      <c r="Q20" s="265" t="str">
        <f t="shared" si="0"/>
        <v/>
      </c>
      <c r="R20" s="287"/>
      <c r="S20" s="287"/>
      <c r="T20" s="288" t="str">
        <f t="shared" si="1"/>
        <v/>
      </c>
      <c r="U20" s="287"/>
      <c r="V20" s="287"/>
      <c r="W20" s="287"/>
      <c r="X20" s="290" t="str">
        <f t="shared" si="7"/>
        <v/>
      </c>
      <c r="Y20" s="295" t="str">
        <f t="shared" si="2"/>
        <v/>
      </c>
      <c r="Z20" s="288" t="str">
        <f t="shared" si="3"/>
        <v/>
      </c>
      <c r="AA20" s="295" t="str">
        <f t="shared" si="4"/>
        <v/>
      </c>
      <c r="AB20" s="288" t="str">
        <f t="shared" si="8"/>
        <v/>
      </c>
      <c r="AC20" s="296" t="str">
        <f t="shared" si="5"/>
        <v/>
      </c>
      <c r="AD20" s="303"/>
      <c r="AE20" s="287"/>
      <c r="AF20" s="251"/>
      <c r="AG20" s="251"/>
      <c r="AH20" s="310"/>
      <c r="AI20" s="310"/>
      <c r="AJ20" s="251"/>
      <c r="AK20" s="252"/>
    </row>
    <row r="21" ht="137" customHeight="1" spans="1:37">
      <c r="A21" s="252">
        <v>2</v>
      </c>
      <c r="B21" s="260" t="s">
        <v>56</v>
      </c>
      <c r="C21" s="251" t="s">
        <v>71</v>
      </c>
      <c r="D21" s="251" t="s">
        <v>72</v>
      </c>
      <c r="E21" s="260" t="s">
        <v>73</v>
      </c>
      <c r="F21" s="251" t="s">
        <v>60</v>
      </c>
      <c r="G21" s="252">
        <v>500</v>
      </c>
      <c r="H21" s="253" t="str">
        <f>IF(G21&lt;=0,"",IF(G21&lt;=2,"Muy Baja",IF(G21&lt;=24,"Baja",IF(G21&lt;=500,"Media",IF(G21&lt;=5000,"Alta","Muy Alta")))))</f>
        <v>Media</v>
      </c>
      <c r="I21" s="275">
        <f>IF(H21="","",IF(H21="Muy Baja",0.2,IF(H21="Baja",0.4,IF(H21="Media",0.6,IF(H21="Alta",0.8,IF(H21="Muy Alta",1,))))))</f>
        <v>0.6</v>
      </c>
      <c r="J21" s="276" t="s">
        <v>74</v>
      </c>
      <c r="K21" s="275" t="str">
        <f>IF(NOT(ISERROR(MATCH(J21,'[1]Tabla Impacto'!$B$221:$B$223,0))),'[1]Tabla Impacto'!$F$223&amp;"Por favor no seleccionar los criterios de impacto(Afectación Económica o presupuestal y Pérdida Reputacional)",J21)</f>
        <v>El riesgo afecta la imagen de la entidad con algunos usuarios de relevancia frente al logro de los objetivos</v>
      </c>
      <c r="L21" s="253" t="str">
        <f>IF(OR(K21='[1]Tabla Impacto'!$C$11,K21='[1]Tabla Impacto'!$D$11),"Leve",IF(OR(K21='[1]Tabla Impacto'!$C$12,K21='[1]Tabla Impacto'!$D$12),"Menor",IF(OR(K21='[1]Tabla Impacto'!$C$13,K21='[1]Tabla Impacto'!$D$13),"Moderado",IF(OR(K21='[1]Tabla Impacto'!$C$14,K21='[1]Tabla Impacto'!$D$14),"Mayor",IF(OR(K21='[1]Tabla Impacto'!$C$15,K21='[1]Tabla Impacto'!$D$15),"Catastrófico","")))))</f>
        <v>Moderado</v>
      </c>
      <c r="M21" s="275">
        <f>IF(L21="","",IF(L21="Leve",0.2,IF(L21="Menor",0.4,IF(L21="Moderado",0.6,IF(L21="Mayor",0.8,IF(L21="Catastrófico",1,))))))</f>
        <v>0.6</v>
      </c>
      <c r="N21" s="277"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252">
        <v>1</v>
      </c>
      <c r="P21" s="284" t="s">
        <v>75</v>
      </c>
      <c r="Q21" s="265" t="str">
        <f t="shared" si="0"/>
        <v>Probabilidad</v>
      </c>
      <c r="R21" s="287" t="s">
        <v>63</v>
      </c>
      <c r="S21" s="287" t="s">
        <v>64</v>
      </c>
      <c r="T21" s="288" t="str">
        <f t="shared" ref="T21:T23" si="9">IF(AND(R21="Preventivo",S21="Automático"),"50%",IF(AND(R21="Preventivo",S21="Manual"),"40%",IF(AND(R21="Detectivo",S21="Automático"),"40%",IF(AND(R21="Detectivo",S21="Manual"),"30%",IF(AND(R21="Correctivo",S21="Automático"),"35%",IF(AND(R21="Correctivo",S21="Manual"),"25%",""))))))</f>
        <v>40%</v>
      </c>
      <c r="U21" s="289" t="s">
        <v>65</v>
      </c>
      <c r="V21" s="289" t="s">
        <v>66</v>
      </c>
      <c r="W21" s="289" t="s">
        <v>67</v>
      </c>
      <c r="X21" s="290">
        <f t="shared" si="7"/>
        <v>0.36</v>
      </c>
      <c r="Y21" s="295" t="str">
        <f t="shared" si="2"/>
        <v>Baja</v>
      </c>
      <c r="Z21" s="288">
        <f t="shared" si="3"/>
        <v>0.36</v>
      </c>
      <c r="AA21" s="295" t="str">
        <f t="shared" si="4"/>
        <v>Moderado</v>
      </c>
      <c r="AB21" s="288">
        <f t="shared" si="8"/>
        <v>0.6</v>
      </c>
      <c r="AC21" s="296" t="str">
        <f t="shared" si="5"/>
        <v>Moderado</v>
      </c>
      <c r="AD21" s="297" t="str">
        <f>IFERROR(IF(OR(AND(AC21="Bajo",AC22="Bajo",AC23="Bajo"),AND(AC21="Bajo",AC22="Bajo",AC23=""),AND(AC21="Bajo",AC22="",AC23="")),"Bajo",IF(OR(AND(AC21="Bajo",AC22="Bajo",AC23="Moderado"),AND(AC21="Bajo",AC22="Moderado",AC23="Moderado"),AND(AC21="Moderado",AC22="Moderado",AC23="Moderado"),,AND(AC21="Moderado",AC22="Bajo",AC23="Bajo"),AND(AC21="Bajo",AC22="Moderado",AC23=""),AND(AC21="Moderado",AC22="Bajo",AC23=""),AND(AC21="Moderado",AC22="Moderado",AC23=""),AND(AC21="Moderado",AC22="",AC23="")),"Moderado",IF(OR(AND(AC21="Bajo",AC22="Bajo",AC23="Alto"),AND(AC21="Bajo",AC22="Moderado",AC23="Alto"),AND(AC21="Moderado",AC22="Bajo",AC23="Alto"),AND(AC21="Moderado",AC22="Alto",AC23="Bajo"),AND(AC21="Moderado",AC22="Moderado",AC23="Alto"),AND(AC21="Alto",AC22="Bajo",AC23="Bajo"),AND(AC21="Alto",AC22="Moderado",AC23="Bajo"),AND(AC21="Alto",AC22="Moderado",AC23="Moderado"),AND(AC21="Alto",AC22="Alto",AC23="Bajo"),AND(AC21="Alto",AC22="Alto",AC23="Moderado"),AND(AC21="Alto",AC22="Alto",AC23="Alto"),AND(AC21="Alto",AC22="Bajo",AC23=""),AND(AC21="Alto",AC22="Moderado",AC23=""),AND(AC21="Alto",AC22="Alto",AC23=""),AND(AC21="Bajo",AC22="Alto",AC23=""),AND(AC21="Moderado",AC22="Alto",AC23=""),AND(AC21="Alto",AC22="",AC23="")),"Alto",IF(OR(AND(AC21="Bajo",AC22="Bajo",AC23="Extremo"),AND(AC21="Bajo",AC22="Moderado",AC23="Extremo"),AND(AC21="Bajo",AC22="Alto",AC23="Extremo"),AND(AC21="Moderado",AC22="Bajo",AC23="Extremo"),AND(AC21="Moderado",AC22="Alto",AC23="Extremo"),AND(AC21="Moderado",AC22="Moderado",AC23="Extremo"),AND(AC21="Alto",AC22="Bajo",AC23="Extremo"),AND(AC21="Alto",AC22="Moderado",AC23="Extremo"),AND(AC21="Alto",AC22="Alto",AC23="Extremo"),AND(AC21="Extremo",AC22="Bajo",AC23="Bajo"),AND(AC21="Extremo",AC22="Bajo",AC23="Moderado"),AND(AC21="Extremo",AC22="Bajo",AC23="Alto"),AND(AC21="Extremo",AC22="Moderado",AC23="Bajo"),AND(AC21="Extremo",AC22="Moderado",AC23="Moderado"),AND(AC21="Extremo",AC22="Moderado",AC23="Alto"),AND(AC21="Extremo",AC22="Alto",AC23="Bajo"),AND(AC21="Extremo",AC22="Alto",AC23="Moderado"),AND(AC21="Extremo",AC22="Alto",AC23="Alto"),AND(AC21="Extremo",AC22="Extremo",AC23="Bajo"),AND(AC21="Extremo",AC22="Extremo",AC23="Moderado"),AND(AC21="Extremo",AC22="Extremo",AC23="Alto"),AND(AC21="Extremo",AC22="Extremo",AC23="Extremo"),AND(AC21="Extremo",AC22="Bajo",AC23=""),AND(AC21="Extremo",AC22="Moderado",AC23=""),AND(AC21="Extremo",AC22="Alto",AC23=""),AND(AC21="Extremo",AC22="",AC23="")),"Extremo")))),"")</f>
        <v>Moderado</v>
      </c>
      <c r="AE21" s="298" t="s">
        <v>68</v>
      </c>
      <c r="AF21" s="251"/>
      <c r="AG21" s="251"/>
      <c r="AH21" s="310"/>
      <c r="AI21" s="310"/>
      <c r="AJ21" s="251"/>
      <c r="AK21" s="252"/>
    </row>
    <row r="22" ht="156" customHeight="1" spans="1:37">
      <c r="A22" s="255"/>
      <c r="B22" s="261"/>
      <c r="C22" s="251"/>
      <c r="D22" s="251"/>
      <c r="E22" s="262"/>
      <c r="F22" s="255"/>
      <c r="G22" s="255"/>
      <c r="H22" s="247"/>
      <c r="I22" s="247"/>
      <c r="J22" s="255"/>
      <c r="K22" s="247"/>
      <c r="L22" s="247"/>
      <c r="M22" s="247"/>
      <c r="N22" s="247"/>
      <c r="O22" s="252">
        <v>2</v>
      </c>
      <c r="P22" s="278" t="s">
        <v>76</v>
      </c>
      <c r="Q22" s="265" t="str">
        <f t="shared" si="0"/>
        <v>Probabilidad</v>
      </c>
      <c r="R22" s="287" t="s">
        <v>63</v>
      </c>
      <c r="S22" s="287" t="s">
        <v>64</v>
      </c>
      <c r="T22" s="288" t="str">
        <f t="shared" si="9"/>
        <v>40%</v>
      </c>
      <c r="U22" s="289" t="s">
        <v>65</v>
      </c>
      <c r="V22" s="289" t="s">
        <v>66</v>
      </c>
      <c r="W22" s="289" t="s">
        <v>67</v>
      </c>
      <c r="X22" s="290">
        <f>IFERROR(IF(AND(Q21="Probabilidad",Q22="Probabilidad"),(Z21-(+Z21*T22)),IF(Q22="Probabilidad",(I21-(+I21*T22)),IF(Q22="Impacto",Z21,""))),"")</f>
        <v>0.216</v>
      </c>
      <c r="Y22" s="295" t="str">
        <f t="shared" si="2"/>
        <v>Baja</v>
      </c>
      <c r="Z22" s="288">
        <f t="shared" si="3"/>
        <v>0.216</v>
      </c>
      <c r="AA22" s="295" t="str">
        <f t="shared" si="4"/>
        <v>Moderado</v>
      </c>
      <c r="AB22" s="288">
        <f>IFERROR(IF(AND(Q21="Impacto",Q22="Impacto"),(AB21-(+AB21*T22)),IF(Q22="Impacto",($M$16-(+$M$16*T22)),IF(Q22="Probabilidad",AB21,""))),"")</f>
        <v>0.6</v>
      </c>
      <c r="AC22" s="296" t="str">
        <f t="shared" si="5"/>
        <v>Moderado</v>
      </c>
      <c r="AD22" s="299"/>
      <c r="AE22" s="300"/>
      <c r="AF22" s="251"/>
      <c r="AG22" s="251"/>
      <c r="AH22" s="310"/>
      <c r="AI22" s="310"/>
      <c r="AJ22" s="251"/>
      <c r="AK22" s="252"/>
    </row>
    <row r="23" ht="50.25" customHeight="1" spans="1:37">
      <c r="A23" s="255"/>
      <c r="B23" s="263"/>
      <c r="C23" s="251"/>
      <c r="D23" s="251"/>
      <c r="E23" s="264"/>
      <c r="F23" s="255"/>
      <c r="G23" s="255"/>
      <c r="H23" s="247"/>
      <c r="I23" s="247"/>
      <c r="J23" s="255"/>
      <c r="K23" s="247"/>
      <c r="L23" s="247"/>
      <c r="M23" s="247"/>
      <c r="N23" s="247"/>
      <c r="O23" s="252">
        <v>3</v>
      </c>
      <c r="P23" s="279"/>
      <c r="Q23" s="265" t="str">
        <f t="shared" si="0"/>
        <v/>
      </c>
      <c r="R23" s="287"/>
      <c r="S23" s="287"/>
      <c r="T23" s="288" t="str">
        <f t="shared" si="9"/>
        <v/>
      </c>
      <c r="U23" s="289"/>
      <c r="V23" s="289"/>
      <c r="W23" s="289"/>
      <c r="X23" s="290" t="str">
        <f>IFERROR(IF(AND(Q22="Probabilidad",Q23="Probabilidad"),(Z22-(+Z22*T23)),IF(AND(Q22="Impacto",Q23="Probabilidad"),(Z21-(+Z21*T23)),IF(Q23="Impacto",Z22,""))),"")</f>
        <v/>
      </c>
      <c r="Y23" s="295" t="str">
        <f t="shared" si="2"/>
        <v/>
      </c>
      <c r="Z23" s="288" t="str">
        <f t="shared" si="3"/>
        <v/>
      </c>
      <c r="AA23" s="295" t="str">
        <f t="shared" si="4"/>
        <v/>
      </c>
      <c r="AB23" s="288" t="str">
        <f>IFERROR(IF(AND(Q22="Impacto",Q23="Impacto"),(AB22-(+AB22*T23)),IF(AND(Q22="Probabilidad",Q23="Impacto"),(AB21-(+AB21*T23)),IF(Q23="Probabilidad",AB22,""))),"")</f>
        <v/>
      </c>
      <c r="AC23" s="296" t="str">
        <f t="shared" si="5"/>
        <v/>
      </c>
      <c r="AD23" s="301"/>
      <c r="AE23" s="302"/>
      <c r="AF23" s="251"/>
      <c r="AG23" s="251"/>
      <c r="AH23" s="310"/>
      <c r="AI23" s="310"/>
      <c r="AJ23" s="251"/>
      <c r="AK23" s="252"/>
    </row>
    <row r="24" hidden="1" customHeight="1" spans="1:37">
      <c r="A24" s="255"/>
      <c r="B24" s="257"/>
      <c r="C24" s="257"/>
      <c r="D24" s="257"/>
      <c r="E24" s="257"/>
      <c r="F24" s="257"/>
      <c r="G24" s="258"/>
      <c r="H24" s="259" t="str">
        <f>IF(G24&lt;=0,"",IF(G24&lt;=2,"Muy Baja",IF(G24&lt;=24,"Baja",IF(G24&lt;=500,"Media",IF(G24&lt;=5000,"Alta","Muy Alta")))))</f>
        <v/>
      </c>
      <c r="I24" s="280" t="str">
        <f>IF(H24="","",IF(H24="Muy Baja",0.2,IF(H24="Baja",0.4,IF(H24="Media",0.6,IF(H24="Alta",0.8,IF(H24="Muy Alta",1,))))))</f>
        <v/>
      </c>
      <c r="J24" s="281"/>
      <c r="K24" s="280">
        <f>IF(NOT(ISERROR(MATCH(J24,'Tabla Impacto'!$B$221:$B$223,0))),'Tabla Impacto'!$F$223&amp;"Por favor no seleccionar los criterios de impacto(Afectación Económica o presupuestal y Pérdida Reputacional)",J24)</f>
        <v>0</v>
      </c>
      <c r="L24" s="259" t="str">
        <f>IF(OR(K24='Tabla Impacto'!$C$11,K24='Tabla Impacto'!$D$11),"Leve",IF(OR(K24='Tabla Impacto'!$C$12,K24='Tabla Impacto'!$D$12),"Menor",IF(OR(K24='Tabla Impacto'!$C$13,K24='Tabla Impacto'!$D$13),"Moderado",IF(OR(K24='Tabla Impacto'!$C$14,K24='Tabla Impacto'!$D$14),"Mayor",IF(OR(K24='Tabla Impacto'!$C$15,K24='Tabla Impacto'!$D$15),"Catastrófico","")))))</f>
        <v/>
      </c>
      <c r="M24" s="280" t="str">
        <f>IF(L24="","",IF(L24="Leve",0.2,IF(L24="Menor",0.4,IF(L24="Moderado",0.6,IF(L24="Mayor",0.8,IF(L24="Catastrófico",1,))))))</f>
        <v/>
      </c>
      <c r="N24" s="282"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252"/>
      <c r="P24" s="279"/>
      <c r="Q24" s="265" t="str">
        <f t="shared" si="0"/>
        <v/>
      </c>
      <c r="R24" s="287"/>
      <c r="S24" s="287"/>
      <c r="T24" s="288"/>
      <c r="U24" s="287"/>
      <c r="V24" s="287"/>
      <c r="W24" s="287"/>
      <c r="X24" s="290" t="str">
        <f t="shared" si="7"/>
        <v/>
      </c>
      <c r="Y24" s="295" t="str">
        <f t="shared" si="2"/>
        <v/>
      </c>
      <c r="Z24" s="288" t="str">
        <f t="shared" si="3"/>
        <v/>
      </c>
      <c r="AA24" s="295" t="str">
        <f t="shared" si="4"/>
        <v/>
      </c>
      <c r="AB24" s="288" t="str">
        <f t="shared" si="8"/>
        <v/>
      </c>
      <c r="AC24" s="296" t="str">
        <f t="shared" si="5"/>
        <v/>
      </c>
      <c r="AD24" s="299"/>
      <c r="AE24" s="287"/>
      <c r="AF24" s="251"/>
      <c r="AG24" s="251"/>
      <c r="AH24" s="310"/>
      <c r="AI24" s="310"/>
      <c r="AJ24" s="251"/>
      <c r="AK24" s="252"/>
    </row>
    <row r="25" hidden="1" customHeight="1" spans="1:37">
      <c r="A25" s="255"/>
      <c r="B25" s="257"/>
      <c r="C25" s="257"/>
      <c r="D25" s="257"/>
      <c r="E25" s="257"/>
      <c r="F25" s="257"/>
      <c r="G25" s="258"/>
      <c r="H25" s="259" t="str">
        <f>IF(G25&lt;=0,"",IF(G25&lt;=2,"Muy Baja",IF(G25&lt;=24,"Baja",IF(G25&lt;=500,"Media",IF(G25&lt;=5000,"Alta","Muy Alta")))))</f>
        <v/>
      </c>
      <c r="I25" s="280" t="str">
        <f>IF(H25="","",IF(H25="Muy Baja",0.2,IF(H25="Baja",0.4,IF(H25="Media",0.6,IF(H25="Alta",0.8,IF(H25="Muy Alta",1,))))))</f>
        <v/>
      </c>
      <c r="J25" s="281"/>
      <c r="K25" s="280">
        <f>IF(NOT(ISERROR(MATCH(J25,'Tabla Impacto'!$B$221:$B$223,0))),'Tabla Impacto'!$F$223&amp;"Por favor no seleccionar los criterios de impacto(Afectación Económica o presupuestal y Pérdida Reputacional)",J25)</f>
        <v>0</v>
      </c>
      <c r="L25" s="259" t="str">
        <f>IF(OR(K25='Tabla Impacto'!$C$11,K25='Tabla Impacto'!$D$11),"Leve",IF(OR(K25='Tabla Impacto'!$C$12,K25='Tabla Impacto'!$D$12),"Menor",IF(OR(K25='Tabla Impacto'!$C$13,K25='Tabla Impacto'!$D$13),"Moderado",IF(OR(K25='Tabla Impacto'!$C$14,K25='Tabla Impacto'!$D$14),"Mayor",IF(OR(K25='Tabla Impacto'!$C$15,K25='Tabla Impacto'!$D$15),"Catastrófico","")))))</f>
        <v/>
      </c>
      <c r="M25" s="280" t="str">
        <f>IF(L25="","",IF(L25="Leve",0.2,IF(L25="Menor",0.4,IF(L25="Moderado",0.6,IF(L25="Mayor",0.8,IF(L25="Catastrófico",1,))))))</f>
        <v/>
      </c>
      <c r="N25" s="282"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
      </c>
      <c r="O25" s="252"/>
      <c r="P25" s="279"/>
      <c r="Q25" s="265" t="str">
        <f t="shared" si="0"/>
        <v/>
      </c>
      <c r="R25" s="287"/>
      <c r="S25" s="287"/>
      <c r="T25" s="288"/>
      <c r="U25" s="287"/>
      <c r="V25" s="287"/>
      <c r="W25" s="287"/>
      <c r="X25" s="290" t="str">
        <f t="shared" si="7"/>
        <v/>
      </c>
      <c r="Y25" s="295" t="str">
        <f t="shared" si="2"/>
        <v/>
      </c>
      <c r="Z25" s="288" t="str">
        <f t="shared" si="3"/>
        <v/>
      </c>
      <c r="AA25" s="295" t="str">
        <f t="shared" si="4"/>
        <v/>
      </c>
      <c r="AB25" s="288" t="str">
        <f t="shared" si="8"/>
        <v/>
      </c>
      <c r="AC25" s="296" t="str">
        <f t="shared" si="5"/>
        <v/>
      </c>
      <c r="AD25" s="303"/>
      <c r="AE25" s="287"/>
      <c r="AF25" s="251"/>
      <c r="AG25" s="251"/>
      <c r="AH25" s="310"/>
      <c r="AI25" s="310"/>
      <c r="AJ25" s="251"/>
      <c r="AK25" s="252"/>
    </row>
    <row r="26" ht="18" hidden="1" customHeight="1" spans="1:37">
      <c r="A26" s="252">
        <v>3</v>
      </c>
      <c r="B26" s="260"/>
      <c r="C26" s="251"/>
      <c r="D26" s="251"/>
      <c r="E26" s="251"/>
      <c r="F26" s="251"/>
      <c r="G26" s="252"/>
      <c r="H26" s="253" t="str">
        <f>IF(G26&lt;=0,"",IF(G26&lt;=2,"Muy Baja",IF(G26&lt;=24,"Baja",IF(G26&lt;=500,"Media",IF(G26&lt;=5000,"Alta","Muy Alta")))))</f>
        <v/>
      </c>
      <c r="I26" s="275" t="str">
        <f>IF(H26="","",IF(H26="Muy Baja",0.2,IF(H26="Baja",0.4,IF(H26="Media",0.6,IF(H26="Alta",0.8,IF(H26="Muy Alta",1,))))))</f>
        <v/>
      </c>
      <c r="J26" s="276"/>
      <c r="K26" s="275">
        <f>IF(NOT(ISERROR(MATCH(J26,'[1]Tabla Impacto'!$B$221:$B$223,0))),'[1]Tabla Impacto'!$F$223&amp;"Por favor no seleccionar los criterios de impacto(Afectación Económica o presupuestal y Pérdida Reputacional)",J26)</f>
        <v>0</v>
      </c>
      <c r="L26" s="253" t="str">
        <f>IF(OR(K26='[1]Tabla Impacto'!$C$11,K26='[1]Tabla Impacto'!$D$11),"Leve",IF(OR(K26='[1]Tabla Impacto'!$C$12,K26='[1]Tabla Impacto'!$D$12),"Menor",IF(OR(K26='[1]Tabla Impacto'!$C$13,K26='[1]Tabla Impacto'!$D$13),"Moderado",IF(OR(K26='[1]Tabla Impacto'!$C$14,K26='[1]Tabla Impacto'!$D$14),"Mayor",IF(OR(K26='[1]Tabla Impacto'!$C$15,K26='[1]Tabla Impacto'!$D$15),"Catastrófico","")))))</f>
        <v/>
      </c>
      <c r="M26" s="275" t="str">
        <f>IF(L26="","",IF(L26="Leve",0.2,IF(L26="Menor",0.4,IF(L26="Moderado",0.6,IF(L26="Mayor",0.8,IF(L26="Catastrófico",1,))))))</f>
        <v/>
      </c>
      <c r="N26" s="277"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
      </c>
      <c r="O26" s="252">
        <v>1</v>
      </c>
      <c r="P26" s="279"/>
      <c r="Q26" s="265" t="str">
        <f t="shared" si="0"/>
        <v/>
      </c>
      <c r="R26" s="287"/>
      <c r="S26" s="287"/>
      <c r="T26" s="288" t="str">
        <f t="shared" ref="T26:T28" si="10">IF(AND(R26="Preventivo",S26="Automático"),"50%",IF(AND(R26="Preventivo",S26="Manual"),"40%",IF(AND(R26="Detectivo",S26="Automático"),"40%",IF(AND(R26="Detectivo",S26="Manual"),"30%",IF(AND(R26="Correctivo",S26="Automático"),"35%",IF(AND(R26="Correctivo",S26="Manual"),"25%",""))))))</f>
        <v/>
      </c>
      <c r="U26" s="289"/>
      <c r="V26" s="289"/>
      <c r="W26" s="289"/>
      <c r="X26" s="290" t="str">
        <f t="shared" si="7"/>
        <v/>
      </c>
      <c r="Y26" s="295" t="str">
        <f t="shared" si="2"/>
        <v/>
      </c>
      <c r="Z26" s="288" t="str">
        <f t="shared" si="3"/>
        <v/>
      </c>
      <c r="AA26" s="295" t="str">
        <f t="shared" si="4"/>
        <v/>
      </c>
      <c r="AB26" s="288" t="str">
        <f t="shared" si="8"/>
        <v/>
      </c>
      <c r="AC26" s="296" t="str">
        <f t="shared" si="5"/>
        <v/>
      </c>
      <c r="AD26" s="297" t="b">
        <f>IFERROR(IF(OR(AND(AC26="Bajo",AC27="Bajo",AC28="Bajo"),AND(AC26="Bajo",AC27="Bajo",AC28=""),AND(AC26="Bajo",AC27="",AC28="")),"Bajo",IF(OR(AND(AC26="Bajo",AC27="Bajo",AC28="Moderado"),AND(AC26="Bajo",AC27="Moderado",AC28="Moderado"),AND(AC26="Moderado",AC27="Moderado",AC28="Moderado"),AND(AC26="Bajo",AC27="Moderado",AC28=""),AND(AC26="Moderado",AC27="Bajo",AC28=""),AND(AC26="Moderado",AC27="Moderado",AC28=""),AND(AC26="Moderado",AC27="",AC28="")),"Moderado",IF(OR(AND(AC26="Bajo",AC27="Bajo",AC28="Alto"),AND(AC26="Bajo",AC27="Moderado",AC28="Alto"),AND(AC26="Moderado",AC27="Bajo",AC28="Alto"),AND(AC26="Moderado",AC27="Alto",AC28="Bajo"),AND(AC26="Moderado",AC27="Moderado",AC28="Alto"),AND(AC26="Alto",AC27="Bajo",AC28="Bajo"),AND(AC26="Alto",AC27="Moderado",AC28="Bajo"),AND(AC26="Alto",AC27="Moderado",AC28="Moderado"),AND(AC26="Alto",AC27="Alto",AC28="Bajo"),AND(AC26="Alto",AC27="Alto",AC28="Moderado"),AND(AC26="Alto",AC27="Alto",AC28="Alto"),AND(AC26="Alto",AC27="Bajo",AC28=""),AND(AC26="Alto",AC27="Moderado",AC28=""),AND(AC26="Alto",AC27="Alto",AC28=""),AND(AC26="Bajo",AC27="Alto",AC28=""),AND(AC26="Moderado",AC27="Alto",AC28=""),AND(AC26="Alto",AC27="",AC28="")),"Alto",IF(OR(AND(AC26="Bajo",AC27="Bajo",AC28="Extremo"),AND(AC26="Bajo",AC27="Moderado",AC28="Extremo"),AND(AC26="Bajo",AC27="Alto",AC28="Extremo"),AND(AC26="Moderado",AC27="Bajo",AC28="Extremo"),AND(AC26="Moderado",AC27="Alto",AC28="Extremo"),AND(AC26="Moderado",AC27="Moderado",AC28="Extremo"),AND(AC26="Alto",AC27="Bajo",AC28="Extremo"),AND(AC26="Alto",AC27="Moderado",AC28="Extremo"),AND(AC26="Alto",AC27="Alto",AC28="Extremo"),AND(AC26="Extremo",AC27="Bajo",AC28="Bajo"),AND(AC26="Extremo",AC27="Bajo",AC28="Moderado"),AND(AC26="Extremo",AC27="Bajo",AC28="Alto"),AND(AC26="Extremo",AC27="Moderado",AC28="Bajo"),AND(AC26="Extremo",AC27="Moderado",AC28="Moderado"),AND(AC26="Extremo",AC27="Moderado",AC28="Alto"),AND(AC26="Extremo",AC27="Alto",AC28="Bajo"),AND(AC26="Extremo",AC27="Alto",AC28="Moderado"),AND(AC26="Extremo",AC27="Alto",AC28="Alto"),AND(AC26="Extremo",AC27="Extremo",AC28="Bajo"),AND(AC26="Extremo",AC27="Extremo",AC28="Moderado"),AND(AC26="Extremo",AC27="Extremo",AC28="Alto"),AND(AC26="Extremo",AC27="Extremo",AC28="Extremo"),AND(AC26="Extremo",AC27="Bajo",AC28=""),AND(AC26="Extremo",AC27="Moderado",AC28=""),AND(AC26="Extremo",AC27="Alto",AC28=""),AND(AC26="Extremo",AC27="",AC28="")),"Extremo")))),"")</f>
        <v>0</v>
      </c>
      <c r="AE26" s="298"/>
      <c r="AF26" s="251"/>
      <c r="AG26" s="251"/>
      <c r="AH26" s="310"/>
      <c r="AI26" s="310"/>
      <c r="AJ26" s="251"/>
      <c r="AK26" s="252"/>
    </row>
    <row r="27" hidden="1" spans="1:37">
      <c r="A27" s="255"/>
      <c r="B27" s="261"/>
      <c r="C27" s="251"/>
      <c r="D27" s="251"/>
      <c r="E27" s="255"/>
      <c r="F27" s="255"/>
      <c r="G27" s="255"/>
      <c r="H27" s="247"/>
      <c r="I27" s="247"/>
      <c r="J27" s="255"/>
      <c r="K27" s="247"/>
      <c r="L27" s="247"/>
      <c r="M27" s="247"/>
      <c r="N27" s="247"/>
      <c r="O27" s="252">
        <v>2</v>
      </c>
      <c r="P27" s="279"/>
      <c r="Q27" s="265" t="str">
        <f t="shared" si="0"/>
        <v/>
      </c>
      <c r="R27" s="287"/>
      <c r="S27" s="287"/>
      <c r="T27" s="288" t="str">
        <f t="shared" si="10"/>
        <v/>
      </c>
      <c r="U27" s="289"/>
      <c r="V27" s="289"/>
      <c r="W27" s="289"/>
      <c r="X27" s="290" t="str">
        <f>IFERROR(IF(AND(Q26="Probabilidad",Q27="Probabilidad"),(Z26-(+Z26*T27)),IF(Q27="Probabilidad",(I26-(+I26*T27)),IF(Q27="Impacto",Z26,""))),"")</f>
        <v/>
      </c>
      <c r="Y27" s="295" t="str">
        <f t="shared" si="2"/>
        <v/>
      </c>
      <c r="Z27" s="288" t="str">
        <f t="shared" si="3"/>
        <v/>
      </c>
      <c r="AA27" s="295" t="str">
        <f t="shared" si="4"/>
        <v/>
      </c>
      <c r="AB27" s="288" t="str">
        <f>IFERROR(IF(AND(Q26="Impacto",Q27="Impacto"),(AB26-(+AB26*T27)),IF(Q27="Impacto",($M$16-(+$M$16*T27)),IF(Q27="Probabilidad",AB26,""))),"")</f>
        <v/>
      </c>
      <c r="AC27" s="296" t="str">
        <f t="shared" si="5"/>
        <v/>
      </c>
      <c r="AD27" s="299"/>
      <c r="AE27" s="300"/>
      <c r="AF27" s="251"/>
      <c r="AG27" s="251"/>
      <c r="AH27" s="310"/>
      <c r="AI27" s="310"/>
      <c r="AJ27" s="251"/>
      <c r="AK27" s="252"/>
    </row>
    <row r="28" hidden="1" spans="1:37">
      <c r="A28" s="255"/>
      <c r="B28" s="263"/>
      <c r="C28" s="251"/>
      <c r="D28" s="251"/>
      <c r="E28" s="255"/>
      <c r="F28" s="255"/>
      <c r="G28" s="255"/>
      <c r="H28" s="247"/>
      <c r="I28" s="247"/>
      <c r="J28" s="255"/>
      <c r="K28" s="247"/>
      <c r="L28" s="247"/>
      <c r="M28" s="247"/>
      <c r="N28" s="247"/>
      <c r="O28" s="252">
        <v>3</v>
      </c>
      <c r="P28" s="279"/>
      <c r="Q28" s="265" t="str">
        <f t="shared" si="0"/>
        <v/>
      </c>
      <c r="R28" s="287"/>
      <c r="S28" s="287"/>
      <c r="T28" s="288" t="str">
        <f t="shared" si="10"/>
        <v/>
      </c>
      <c r="U28" s="289"/>
      <c r="V28" s="289"/>
      <c r="W28" s="289"/>
      <c r="X28" s="290" t="str">
        <f>IFERROR(IF(AND(Q27="Probabilidad",Q28="Probabilidad"),(Z27-(+Z27*T28)),IF(AND(Q27="Impacto",Q28="Probabilidad"),(Z26-(+Z26*T28)),IF(Q28="Impacto",Z27,""))),"")</f>
        <v/>
      </c>
      <c r="Y28" s="295" t="str">
        <f t="shared" si="2"/>
        <v/>
      </c>
      <c r="Z28" s="288" t="str">
        <f t="shared" si="3"/>
        <v/>
      </c>
      <c r="AA28" s="295" t="str">
        <f t="shared" si="4"/>
        <v/>
      </c>
      <c r="AB28" s="288" t="str">
        <f>IFERROR(IF(AND(Q27="Impacto",Q28="Impacto"),(AB27-(+AB27*T28)),IF(AND(Q27="Probabilidad",Q28="Impacto"),(AB26-(+AB26*T28)),IF(Q28="Probabilidad",AB27,""))),"")</f>
        <v/>
      </c>
      <c r="AC28" s="296" t="str">
        <f t="shared" si="5"/>
        <v/>
      </c>
      <c r="AD28" s="301"/>
      <c r="AE28" s="302"/>
      <c r="AF28" s="251"/>
      <c r="AG28" s="251"/>
      <c r="AH28" s="310"/>
      <c r="AI28" s="310"/>
      <c r="AJ28" s="251"/>
      <c r="AK28" s="252"/>
    </row>
    <row r="29" hidden="1" customHeight="1" spans="1:37">
      <c r="A29" s="255"/>
      <c r="B29" s="257"/>
      <c r="C29" s="257"/>
      <c r="D29" s="257"/>
      <c r="E29" s="257"/>
      <c r="F29" s="257"/>
      <c r="G29" s="258"/>
      <c r="H29" s="259" t="str">
        <f>IF(G29&lt;=0,"",IF(G29&lt;=2,"Muy Baja",IF(G29&lt;=24,"Baja",IF(G29&lt;=500,"Media",IF(G29&lt;=5000,"Alta","Muy Alta")))))</f>
        <v/>
      </c>
      <c r="I29" s="280" t="str">
        <f>IF(H29="","",IF(H29="Muy Baja",0.2,IF(H29="Baja",0.4,IF(H29="Media",0.6,IF(H29="Alta",0.8,IF(H29="Muy Alta",1,))))))</f>
        <v/>
      </c>
      <c r="J29" s="281"/>
      <c r="K29" s="280">
        <f>IF(NOT(ISERROR(MATCH(J29,'Tabla Impacto'!$B$221:$B$223,0))),'Tabla Impacto'!$F$223&amp;"Por favor no seleccionar los criterios de impacto(Afectación Económica o presupuestal y Pérdida Reputacional)",J29)</f>
        <v>0</v>
      </c>
      <c r="L29" s="259" t="str">
        <f>IF(OR(K29='Tabla Impacto'!$C$11,K29='Tabla Impacto'!$D$11),"Leve",IF(OR(K29='Tabla Impacto'!$C$12,K29='Tabla Impacto'!$D$12),"Menor",IF(OR(K29='Tabla Impacto'!$C$13,K29='Tabla Impacto'!$D$13),"Moderado",IF(OR(K29='Tabla Impacto'!$C$14,K29='Tabla Impacto'!$D$14),"Mayor",IF(OR(K29='Tabla Impacto'!$C$15,K29='Tabla Impacto'!$D$15),"Catastrófico","")))))</f>
        <v/>
      </c>
      <c r="M29" s="280" t="str">
        <f>IF(L29="","",IF(L29="Leve",0.2,IF(L29="Menor",0.4,IF(L29="Moderado",0.6,IF(L29="Mayor",0.8,IF(L29="Catastrófico",1,))))))</f>
        <v/>
      </c>
      <c r="N29" s="282" t="str">
        <f>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252"/>
      <c r="P29" s="279"/>
      <c r="Q29" s="265" t="str">
        <f t="shared" si="0"/>
        <v/>
      </c>
      <c r="R29" s="287"/>
      <c r="S29" s="287"/>
      <c r="T29" s="288" t="str">
        <f t="shared" si="1"/>
        <v/>
      </c>
      <c r="U29" s="287"/>
      <c r="V29" s="287"/>
      <c r="W29" s="287"/>
      <c r="X29" s="290" t="str">
        <f t="shared" si="7"/>
        <v/>
      </c>
      <c r="Y29" s="295" t="str">
        <f t="shared" si="2"/>
        <v/>
      </c>
      <c r="Z29" s="288" t="str">
        <f t="shared" si="3"/>
        <v/>
      </c>
      <c r="AA29" s="295" t="str">
        <f t="shared" si="4"/>
        <v/>
      </c>
      <c r="AB29" s="288" t="str">
        <f t="shared" si="8"/>
        <v/>
      </c>
      <c r="AC29" s="296" t="str">
        <f t="shared" si="5"/>
        <v/>
      </c>
      <c r="AD29" s="299"/>
      <c r="AE29" s="287"/>
      <c r="AF29" s="251"/>
      <c r="AG29" s="251"/>
      <c r="AH29" s="310"/>
      <c r="AI29" s="310"/>
      <c r="AJ29" s="251"/>
      <c r="AK29" s="252"/>
    </row>
    <row r="30" hidden="1" customHeight="1" spans="1:37">
      <c r="A30" s="255"/>
      <c r="B30" s="257"/>
      <c r="C30" s="257"/>
      <c r="D30" s="257"/>
      <c r="E30" s="257"/>
      <c r="F30" s="257"/>
      <c r="G30" s="258"/>
      <c r="H30" s="259" t="str">
        <f>IF(G30&lt;=0,"",IF(G30&lt;=2,"Muy Baja",IF(G30&lt;=24,"Baja",IF(G30&lt;=500,"Media",IF(G30&lt;=5000,"Alta","Muy Alta")))))</f>
        <v/>
      </c>
      <c r="I30" s="280" t="str">
        <f>IF(H30="","",IF(H30="Muy Baja",0.2,IF(H30="Baja",0.4,IF(H30="Media",0.6,IF(H30="Alta",0.8,IF(H30="Muy Alta",1,))))))</f>
        <v/>
      </c>
      <c r="J30" s="281"/>
      <c r="K30" s="280">
        <f>IF(NOT(ISERROR(MATCH(J30,'Tabla Impacto'!$B$221:$B$223,0))),'Tabla Impacto'!$F$223&amp;"Por favor no seleccionar los criterios de impacto(Afectación Económica o presupuestal y Pérdida Reputacional)",J30)</f>
        <v>0</v>
      </c>
      <c r="L30" s="259" t="str">
        <f>IF(OR(K30='Tabla Impacto'!$C$11,K30='Tabla Impacto'!$D$11),"Leve",IF(OR(K30='Tabla Impacto'!$C$12,K30='Tabla Impacto'!$D$12),"Menor",IF(OR(K30='Tabla Impacto'!$C$13,K30='Tabla Impacto'!$D$13),"Moderado",IF(OR(K30='Tabla Impacto'!$C$14,K30='Tabla Impacto'!$D$14),"Mayor",IF(OR(K30='Tabla Impacto'!$C$15,K30='Tabla Impacto'!$D$15),"Catastrófico","")))))</f>
        <v/>
      </c>
      <c r="M30" s="280" t="str">
        <f>IF(L30="","",IF(L30="Leve",0.2,IF(L30="Menor",0.4,IF(L30="Moderado",0.6,IF(L30="Mayor",0.8,IF(L30="Catastrófico",1,))))))</f>
        <v/>
      </c>
      <c r="N30" s="282"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252"/>
      <c r="P30" s="279"/>
      <c r="Q30" s="265" t="str">
        <f t="shared" si="0"/>
        <v/>
      </c>
      <c r="R30" s="287"/>
      <c r="S30" s="287"/>
      <c r="T30" s="288" t="str">
        <f t="shared" si="1"/>
        <v/>
      </c>
      <c r="U30" s="287"/>
      <c r="V30" s="287"/>
      <c r="W30" s="287"/>
      <c r="X30" s="290" t="str">
        <f t="shared" si="7"/>
        <v/>
      </c>
      <c r="Y30" s="295" t="str">
        <f t="shared" si="2"/>
        <v/>
      </c>
      <c r="Z30" s="288" t="str">
        <f t="shared" si="3"/>
        <v/>
      </c>
      <c r="AA30" s="295" t="str">
        <f t="shared" si="4"/>
        <v/>
      </c>
      <c r="AB30" s="288" t="str">
        <f t="shared" si="8"/>
        <v/>
      </c>
      <c r="AC30" s="296" t="str">
        <f t="shared" si="5"/>
        <v/>
      </c>
      <c r="AD30" s="299"/>
      <c r="AE30" s="287"/>
      <c r="AF30" s="251"/>
      <c r="AG30" s="251"/>
      <c r="AH30" s="310"/>
      <c r="AI30" s="310"/>
      <c r="AJ30" s="251"/>
      <c r="AK30" s="252"/>
    </row>
    <row r="31" spans="1:37">
      <c r="A31" s="252">
        <v>4</v>
      </c>
      <c r="B31" s="260"/>
      <c r="C31" s="251"/>
      <c r="D31" s="251"/>
      <c r="E31" s="251"/>
      <c r="F31" s="251"/>
      <c r="G31" s="252"/>
      <c r="H31" s="253" t="str">
        <f>IF(G31&lt;=0,"",IF(G31&lt;=2,"Muy Baja",IF(G31&lt;=24,"Baja",IF(G31&lt;=500,"Media",IF(G31&lt;=5000,"Alta","Muy Alta")))))</f>
        <v/>
      </c>
      <c r="I31" s="275" t="str">
        <f>IF(H31="","",IF(H31="Muy Baja",0.2,IF(H31="Baja",0.4,IF(H31="Media",0.6,IF(H31="Alta",0.8,IF(H31="Muy Alta",1,))))))</f>
        <v/>
      </c>
      <c r="J31" s="276"/>
      <c r="K31" s="275">
        <f>IF(NOT(ISERROR(MATCH(J31,'[1]Tabla Impacto'!$B$221:$B$223,0))),'[1]Tabla Impacto'!$F$223&amp;"Por favor no seleccionar los criterios de impacto(Afectación Económica o presupuestal y Pérdida Reputacional)",J31)</f>
        <v>0</v>
      </c>
      <c r="L31" s="253" t="str">
        <f>IF(OR(K31='[1]Tabla Impacto'!$C$11,K31='[1]Tabla Impacto'!$D$11),"Leve",IF(OR(K31='[1]Tabla Impacto'!$C$12,K31='[1]Tabla Impacto'!$D$12),"Menor",IF(OR(K31='[1]Tabla Impacto'!$C$13,K31='[1]Tabla Impacto'!$D$13),"Moderado",IF(OR(K31='[1]Tabla Impacto'!$C$14,K31='[1]Tabla Impacto'!$D$14),"Mayor",IF(OR(K31='[1]Tabla Impacto'!$C$15,K31='[1]Tabla Impacto'!$D$15),"Catastrófico","")))))</f>
        <v/>
      </c>
      <c r="M31" s="275" t="str">
        <f>IF(L31="","",IF(L31="Leve",0.2,IF(L31="Menor",0.4,IF(L31="Moderado",0.6,IF(L31="Mayor",0.8,IF(L31="Catastrófico",1,))))))</f>
        <v/>
      </c>
      <c r="N31" s="277"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
      </c>
      <c r="O31" s="252">
        <v>1</v>
      </c>
      <c r="P31" s="279"/>
      <c r="Q31" s="265" t="str">
        <f t="shared" si="0"/>
        <v/>
      </c>
      <c r="R31" s="287"/>
      <c r="S31" s="287"/>
      <c r="T31" s="288" t="str">
        <f t="shared" ref="T31:T33" si="11">IF(AND(R31="Preventivo",S31="Automático"),"50%",IF(AND(R31="Preventivo",S31="Manual"),"40%",IF(AND(R31="Detectivo",S31="Automático"),"40%",IF(AND(R31="Detectivo",S31="Manual"),"30%",IF(AND(R31="Correctivo",S31="Automático"),"35%",IF(AND(R31="Correctivo",S31="Manual"),"25%",""))))))</f>
        <v/>
      </c>
      <c r="U31" s="289"/>
      <c r="V31" s="289"/>
      <c r="W31" s="289"/>
      <c r="X31" s="290" t="str">
        <f t="shared" si="7"/>
        <v/>
      </c>
      <c r="Y31" s="295" t="str">
        <f t="shared" si="2"/>
        <v/>
      </c>
      <c r="Z31" s="288" t="str">
        <f t="shared" si="3"/>
        <v/>
      </c>
      <c r="AA31" s="295" t="str">
        <f t="shared" si="4"/>
        <v/>
      </c>
      <c r="AB31" s="288" t="str">
        <f t="shared" si="8"/>
        <v/>
      </c>
      <c r="AC31" s="296" t="str">
        <f t="shared" si="5"/>
        <v/>
      </c>
      <c r="AD31" s="297" t="b">
        <f>IFERROR(IF(OR(AND(AC31="Bajo",AC32="Bajo",AC33="Bajo"),AND(AC31="Bajo",AC32="Bajo",AC33=""),AND(AC31="Bajo",AC32="",AC33="")),"Bajo",IF(OR(AND(AC31="Bajo",AC32="Bajo",AC33="Moderado"),AND(AC31="Bajo",AC32="Moderado",AC33="Moderado"),AND(AC31="Moderado",AC32="Moderado",AC33="Moderado"),AND(AC31="Bajo",AC32="Moderado",AC33=""),AND(AC31="Moderado",AC32="Bajo",AC33=""),AND(AC31="Moderado",AC32="Moderado",AC33=""),AND(AC31="Moderado",AC32="",AC33="")),"Moderado",IF(OR(AND(AC31="Bajo",AC32="Bajo",AC33="Alto"),AND(AC31="Bajo",AC32="Moderado",AC33="Alto"),AND(AC31="Moderado",AC32="Bajo",AC33="Alto"),AND(AC31="Moderado",AC32="Alto",AC33="Bajo"),AND(AC31="Moderado",AC32="Moderado",AC33="Alto"),AND(AC31="Alto",AC32="Bajo",AC33="Bajo"),AND(AC31="Alto",AC32="Moderado",AC33="Bajo"),AND(AC31="Alto",AC32="Moderado",AC33="Moderado"),AND(AC31="Alto",AC32="Alto",AC33="Bajo"),AND(AC31="Alto",AC32="Alto",AC33="Moderado"),AND(AC31="Alto",AC32="Alto",AC33="Alto"),AND(AC31="Alto",AC32="Bajo",AC33=""),AND(AC31="Alto",AC32="Moderado",AC33=""),AND(AC31="Alto",AC32="Alto",AC33=""),AND(AC31="Bajo",AC32="Alto",AC33=""),AND(AC31="Moderado",AC32="Alto",AC33=""),AND(AC31="Alto",AC32="",AC33="")),"Alto",IF(OR(AND(AC31="Bajo",AC32="Bajo",AC33="Extremo"),AND(AC31="Bajo",AC32="Moderado",AC33="Extremo"),AND(AC31="Bajo",AC32="Alto",AC33="Extremo"),AND(AC31="Moderado",AC32="Bajo",AC33="Extremo"),AND(AC31="Moderado",AC32="Alto",AC33="Extremo"),AND(AC31="Moderado",AC32="Moderado",AC33="Extremo"),AND(AC31="Alto",AC32="Bajo",AC33="Extremo"),AND(AC31="Alto",AC32="Moderado",AC33="Extremo"),AND(AC31="Alto",AC32="Alto",AC33="Extremo"),AND(AC31="Extremo",AC32="Bajo",AC33="Bajo"),AND(AC31="Extremo",AC32="Bajo",AC33="Moderado"),AND(AC31="Extremo",AC32="Bajo",AC33="Alto"),AND(AC31="Extremo",AC32="Moderado",AC33="Bajo"),AND(AC31="Extremo",AC32="Moderado",AC33="Moderado"),AND(AC31="Extremo",AC32="Moderado",AC33="Alto"),AND(AC31="Extremo",AC32="Alto",AC33="Bajo"),AND(AC31="Extremo",AC32="Alto",AC33="Moderado"),AND(AC31="Extremo",AC32="Alto",AC33="Alto"),AND(AC31="Extremo",AC32="Extremo",AC33="Bajo"),AND(AC31="Extremo",AC32="Extremo",AC33="Moderado"),AND(AC31="Extremo",AC32="Extremo",AC33="Alto"),AND(AC31="Extremo",AC32="Extremo",AC33="Extremo"),AND(AC31="Extremo",AC32="Bajo",AC33=""),AND(AC31="Extremo",AC32="Moderado",AC33=""),AND(AC31="Extremo",AC32="Alto",AC33=""),AND(AC31="Extremo",AC32="",AC33="")),"Extremo")))),"")</f>
        <v>0</v>
      </c>
      <c r="AE31" s="298"/>
      <c r="AF31" s="251"/>
      <c r="AG31" s="251"/>
      <c r="AH31" s="310"/>
      <c r="AI31" s="310"/>
      <c r="AJ31" s="251"/>
      <c r="AK31" s="252"/>
    </row>
    <row r="32" spans="1:37">
      <c r="A32" s="255"/>
      <c r="B32" s="261"/>
      <c r="C32" s="251"/>
      <c r="D32" s="251"/>
      <c r="E32" s="255"/>
      <c r="F32" s="255"/>
      <c r="G32" s="255"/>
      <c r="H32" s="247"/>
      <c r="I32" s="247"/>
      <c r="J32" s="255"/>
      <c r="K32" s="247"/>
      <c r="L32" s="247"/>
      <c r="M32" s="247"/>
      <c r="N32" s="247"/>
      <c r="O32" s="252">
        <v>2</v>
      </c>
      <c r="P32" s="279"/>
      <c r="Q32" s="265" t="str">
        <f t="shared" si="0"/>
        <v/>
      </c>
      <c r="R32" s="287"/>
      <c r="S32" s="287"/>
      <c r="T32" s="288" t="str">
        <f t="shared" si="11"/>
        <v/>
      </c>
      <c r="U32" s="289"/>
      <c r="V32" s="289"/>
      <c r="W32" s="289"/>
      <c r="X32" s="290" t="str">
        <f>IFERROR(IF(AND(Q31="Probabilidad",Q32="Probabilidad"),(Z31-(+Z31*T32)),IF(Q32="Probabilidad",(I31-(+I31*T32)),IF(Q32="Impacto",Z31,""))),"")</f>
        <v/>
      </c>
      <c r="Y32" s="295" t="str">
        <f t="shared" si="2"/>
        <v/>
      </c>
      <c r="Z32" s="288" t="str">
        <f t="shared" si="3"/>
        <v/>
      </c>
      <c r="AA32" s="295" t="str">
        <f t="shared" si="4"/>
        <v/>
      </c>
      <c r="AB32" s="288" t="str">
        <f>IFERROR(IF(AND(Q31="Impacto",Q32="Impacto"),(AB31-(+AB31*T32)),IF(Q32="Impacto",($M$16-(+$M$16*T32)),IF(Q32="Probabilidad",AB31,""))),"")</f>
        <v/>
      </c>
      <c r="AC32" s="296" t="str">
        <f t="shared" si="5"/>
        <v/>
      </c>
      <c r="AD32" s="299"/>
      <c r="AE32" s="300"/>
      <c r="AF32" s="251"/>
      <c r="AG32" s="251"/>
      <c r="AH32" s="310"/>
      <c r="AI32" s="310"/>
      <c r="AJ32" s="251"/>
      <c r="AK32" s="252"/>
    </row>
    <row r="33" customHeight="1" spans="1:37">
      <c r="A33" s="255"/>
      <c r="B33" s="263"/>
      <c r="C33" s="251"/>
      <c r="D33" s="251"/>
      <c r="E33" s="255"/>
      <c r="F33" s="255"/>
      <c r="G33" s="255"/>
      <c r="H33" s="247"/>
      <c r="I33" s="247"/>
      <c r="J33" s="255"/>
      <c r="K33" s="247"/>
      <c r="L33" s="247"/>
      <c r="M33" s="247"/>
      <c r="N33" s="247"/>
      <c r="O33" s="252">
        <v>3</v>
      </c>
      <c r="P33" s="279"/>
      <c r="Q33" s="265" t="str">
        <f t="shared" si="0"/>
        <v/>
      </c>
      <c r="R33" s="287"/>
      <c r="S33" s="287"/>
      <c r="T33" s="288" t="str">
        <f t="shared" si="11"/>
        <v/>
      </c>
      <c r="U33" s="289"/>
      <c r="V33" s="289"/>
      <c r="W33" s="289"/>
      <c r="X33" s="290" t="str">
        <f>IFERROR(IF(AND(Q32="Probabilidad",Q33="Probabilidad"),(Z32-(+Z32*T33)),IF(AND(Q32="Impacto",Q33="Probabilidad"),(Z31-(+Z31*T33)),IF(Q33="Impacto",Z32,""))),"")</f>
        <v/>
      </c>
      <c r="Y33" s="295" t="str">
        <f t="shared" si="2"/>
        <v/>
      </c>
      <c r="Z33" s="288" t="str">
        <f t="shared" si="3"/>
        <v/>
      </c>
      <c r="AA33" s="295" t="str">
        <f t="shared" si="4"/>
        <v/>
      </c>
      <c r="AB33" s="288" t="str">
        <f>IFERROR(IF(AND(Q32="Impacto",Q33="Impacto"),(AB32-(+AB32*T33)),IF(AND(Q32="Probabilidad",Q33="Impacto"),(AB31-(+AB31*T33)),IF(Q33="Probabilidad",AB32,""))),"")</f>
        <v/>
      </c>
      <c r="AC33" s="296" t="str">
        <f t="shared" si="5"/>
        <v/>
      </c>
      <c r="AD33" s="301"/>
      <c r="AE33" s="302"/>
      <c r="AF33" s="251"/>
      <c r="AG33" s="251"/>
      <c r="AH33" s="310"/>
      <c r="AI33" s="310"/>
      <c r="AJ33" s="251"/>
      <c r="AK33" s="252"/>
    </row>
    <row r="34" hidden="1" customHeight="1" spans="1:37">
      <c r="A34" s="255"/>
      <c r="B34" s="257"/>
      <c r="C34" s="257"/>
      <c r="D34" s="257"/>
      <c r="E34" s="257"/>
      <c r="F34" s="257"/>
      <c r="G34" s="258"/>
      <c r="H34" s="259" t="str">
        <f>IF(G34&lt;=0,"",IF(G34&lt;=2,"Muy Baja",IF(G34&lt;=24,"Baja",IF(G34&lt;=500,"Media",IF(G34&lt;=5000,"Alta","Muy Alta")))))</f>
        <v/>
      </c>
      <c r="I34" s="280" t="str">
        <f>IF(H34="","",IF(H34="Muy Baja",0.2,IF(H34="Baja",0.4,IF(H34="Media",0.6,IF(H34="Alta",0.8,IF(H34="Muy Alta",1,))))))</f>
        <v/>
      </c>
      <c r="J34" s="281"/>
      <c r="K34" s="280">
        <f>IF(NOT(ISERROR(MATCH(J34,'Tabla Impacto'!$B$221:$B$223,0))),'Tabla Impacto'!$F$223&amp;"Por favor no seleccionar los criterios de impacto(Afectación Económica o presupuestal y Pérdida Reputacional)",J34)</f>
        <v>0</v>
      </c>
      <c r="L34" s="259" t="str">
        <f>IF(OR(K34='Tabla Impacto'!$C$11,K34='Tabla Impacto'!$D$11),"Leve",IF(OR(K34='Tabla Impacto'!$C$12,K34='Tabla Impacto'!$D$12),"Menor",IF(OR(K34='Tabla Impacto'!$C$13,K34='Tabla Impacto'!$D$13),"Moderado",IF(OR(K34='Tabla Impacto'!$C$14,K34='Tabla Impacto'!$D$14),"Mayor",IF(OR(K34='Tabla Impacto'!$C$15,K34='Tabla Impacto'!$D$15),"Catastrófico","")))))</f>
        <v/>
      </c>
      <c r="M34" s="280" t="str">
        <f>IF(L34="","",IF(L34="Leve",0.2,IF(L34="Menor",0.4,IF(L34="Moderado",0.6,IF(L34="Mayor",0.8,IF(L34="Catastrófico",1,))))))</f>
        <v/>
      </c>
      <c r="N34" s="282"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252"/>
      <c r="P34" s="279"/>
      <c r="Q34" s="265" t="str">
        <f t="shared" si="0"/>
        <v/>
      </c>
      <c r="R34" s="287"/>
      <c r="S34" s="287"/>
      <c r="T34" s="288" t="str">
        <f t="shared" si="1"/>
        <v/>
      </c>
      <c r="U34" s="287"/>
      <c r="V34" s="287"/>
      <c r="W34" s="287"/>
      <c r="X34" s="290" t="str">
        <f t="shared" si="7"/>
        <v/>
      </c>
      <c r="Y34" s="295" t="str">
        <f t="shared" si="2"/>
        <v/>
      </c>
      <c r="Z34" s="288" t="str">
        <f t="shared" si="3"/>
        <v/>
      </c>
      <c r="AA34" s="295" t="str">
        <f t="shared" si="4"/>
        <v/>
      </c>
      <c r="AB34" s="288" t="str">
        <f t="shared" si="8"/>
        <v/>
      </c>
      <c r="AC34" s="296" t="str">
        <f t="shared" si="5"/>
        <v/>
      </c>
      <c r="AD34" s="299"/>
      <c r="AE34" s="287"/>
      <c r="AF34" s="251"/>
      <c r="AG34" s="251"/>
      <c r="AH34" s="310"/>
      <c r="AI34" s="310"/>
      <c r="AJ34" s="251"/>
      <c r="AK34" s="252"/>
    </row>
    <row r="35" hidden="1" customHeight="1" spans="1:37">
      <c r="A35" s="255"/>
      <c r="B35" s="257"/>
      <c r="C35" s="257"/>
      <c r="D35" s="257"/>
      <c r="E35" s="257"/>
      <c r="F35" s="257"/>
      <c r="G35" s="258"/>
      <c r="H35" s="259" t="str">
        <f>IF(G35&lt;=0,"",IF(G35&lt;=2,"Muy Baja",IF(G35&lt;=24,"Baja",IF(G35&lt;=500,"Media",IF(G35&lt;=5000,"Alta","Muy Alta")))))</f>
        <v/>
      </c>
      <c r="I35" s="280" t="str">
        <f>IF(H35="","",IF(H35="Muy Baja",0.2,IF(H35="Baja",0.4,IF(H35="Media",0.6,IF(H35="Alta",0.8,IF(H35="Muy Alta",1,))))))</f>
        <v/>
      </c>
      <c r="J35" s="281"/>
      <c r="K35" s="280">
        <f>IF(NOT(ISERROR(MATCH(J35,'Tabla Impacto'!$B$221:$B$223,0))),'Tabla Impacto'!$F$223&amp;"Por favor no seleccionar los criterios de impacto(Afectación Económica o presupuestal y Pérdida Reputacional)",J35)</f>
        <v>0</v>
      </c>
      <c r="L35" s="259" t="str">
        <f>IF(OR(K35='Tabla Impacto'!$C$11,K35='Tabla Impacto'!$D$11),"Leve",IF(OR(K35='Tabla Impacto'!$C$12,K35='Tabla Impacto'!$D$12),"Menor",IF(OR(K35='Tabla Impacto'!$C$13,K35='Tabla Impacto'!$D$13),"Moderado",IF(OR(K35='Tabla Impacto'!$C$14,K35='Tabla Impacto'!$D$14),"Mayor",IF(OR(K35='Tabla Impacto'!$C$15,K35='Tabla Impacto'!$D$15),"Catastrófico","")))))</f>
        <v/>
      </c>
      <c r="M35" s="280" t="str">
        <f>IF(L35="","",IF(L35="Leve",0.2,IF(L35="Menor",0.4,IF(L35="Moderado",0.6,IF(L35="Mayor",0.8,IF(L35="Catastrófico",1,))))))</f>
        <v/>
      </c>
      <c r="N35" s="282" t="str">
        <f>IF(OR(AND(H35="Muy Baja",L35="Leve"),AND(H35="Muy Baja",L35="Menor"),AND(H35="Baja",L35="Leve")),"Bajo",IF(OR(AND(H35="Muy baja",L35="Moderado"),AND(H35="Baja",L35="Menor"),AND(H35="Baja",L35="Moderado"),AND(H35="Media",L35="Leve"),AND(H35="Media",L35="Menor"),AND(H35="Media",L35="Moderado"),AND(H35="Alta",L35="Leve"),AND(H35="Alta",L35="Menor")),"Moderado",IF(OR(AND(H35="Muy Baja",L35="Mayor"),AND(H35="Baja",L35="Mayor"),AND(H35="Media",L35="Mayor"),AND(H35="Alta",L35="Moderado"),AND(H35="Alta",L35="Mayor"),AND(H35="Muy Alta",L35="Leve"),AND(H35="Muy Alta",L35="Menor"),AND(H35="Muy Alta",L35="Moderado"),AND(H35="Muy Alta",L35="Mayor")),"Alto",IF(OR(AND(H35="Muy Baja",L35="Catastrófico"),AND(H35="Baja",L35="Catastrófico"),AND(H35="Media",L35="Catastrófico"),AND(H35="Alta",L35="Catastrófico"),AND(H35="Muy Alta",L35="Catastrófico")),"Extremo",""))))</f>
        <v/>
      </c>
      <c r="O35" s="252"/>
      <c r="P35" s="279"/>
      <c r="Q35" s="265" t="str">
        <f t="shared" si="0"/>
        <v/>
      </c>
      <c r="R35" s="287"/>
      <c r="S35" s="287"/>
      <c r="T35" s="288" t="str">
        <f t="shared" si="1"/>
        <v/>
      </c>
      <c r="U35" s="287"/>
      <c r="V35" s="287"/>
      <c r="W35" s="287"/>
      <c r="X35" s="290" t="str">
        <f t="shared" si="7"/>
        <v/>
      </c>
      <c r="Y35" s="295" t="str">
        <f t="shared" si="2"/>
        <v/>
      </c>
      <c r="Z35" s="288" t="str">
        <f t="shared" si="3"/>
        <v/>
      </c>
      <c r="AA35" s="295" t="str">
        <f t="shared" si="4"/>
        <v/>
      </c>
      <c r="AB35" s="288" t="str">
        <f t="shared" si="8"/>
        <v/>
      </c>
      <c r="AC35" s="296" t="str">
        <f t="shared" si="5"/>
        <v/>
      </c>
      <c r="AD35" s="303"/>
      <c r="AE35" s="287"/>
      <c r="AF35" s="251"/>
      <c r="AG35" s="251"/>
      <c r="AH35" s="310"/>
      <c r="AI35" s="310"/>
      <c r="AJ35" s="251"/>
      <c r="AK35" s="252"/>
    </row>
    <row r="36" spans="1:37">
      <c r="A36" s="252">
        <v>5</v>
      </c>
      <c r="B36" s="260"/>
      <c r="C36" s="251"/>
      <c r="D36" s="251"/>
      <c r="E36" s="251"/>
      <c r="F36" s="251"/>
      <c r="G36" s="252"/>
      <c r="H36" s="253" t="str">
        <f>IF(G36&lt;=0,"",IF(G36&lt;=2,"Muy Baja",IF(G36&lt;=24,"Baja",IF(G36&lt;=500,"Media",IF(G36&lt;=5000,"Alta","Muy Alta")))))</f>
        <v/>
      </c>
      <c r="I36" s="275" t="str">
        <f>IF(H36="","",IF(H36="Muy Baja",0.2,IF(H36="Baja",0.4,IF(H36="Media",0.6,IF(H36="Alta",0.8,IF(H36="Muy Alta",1,))))))</f>
        <v/>
      </c>
      <c r="J36" s="276"/>
      <c r="K36" s="275">
        <f>IF(NOT(ISERROR(MATCH(J36,'[1]Tabla Impacto'!$B$221:$B$223,0))),'[1]Tabla Impacto'!$F$223&amp;"Por favor no seleccionar los criterios de impacto(Afectación Económica o presupuestal y Pérdida Reputacional)",J36)</f>
        <v>0</v>
      </c>
      <c r="L36" s="253" t="str">
        <f>IF(OR(K36='[1]Tabla Impacto'!$C$11,K36='[1]Tabla Impacto'!$D$11),"Leve",IF(OR(K36='[1]Tabla Impacto'!$C$12,K36='[1]Tabla Impacto'!$D$12),"Menor",IF(OR(K36='[1]Tabla Impacto'!$C$13,K36='[1]Tabla Impacto'!$D$13),"Moderado",IF(OR(K36='[1]Tabla Impacto'!$C$14,K36='[1]Tabla Impacto'!$D$14),"Mayor",IF(OR(K36='[1]Tabla Impacto'!$C$15,K36='[1]Tabla Impacto'!$D$15),"Catastrófico","")))))</f>
        <v/>
      </c>
      <c r="M36" s="275" t="str">
        <f>IF(L36="","",IF(L36="Leve",0.2,IF(L36="Menor",0.4,IF(L36="Moderado",0.6,IF(L36="Mayor",0.8,IF(L36="Catastrófico",1,))))))</f>
        <v/>
      </c>
      <c r="N36" s="277"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252">
        <v>1</v>
      </c>
      <c r="P36" s="279"/>
      <c r="Q36" s="265" t="str">
        <f t="shared" si="0"/>
        <v/>
      </c>
      <c r="R36" s="287"/>
      <c r="S36" s="287"/>
      <c r="T36" s="288" t="str">
        <f t="shared" ref="T36:T38" si="12">IF(AND(R36="Preventivo",S36="Automático"),"50%",IF(AND(R36="Preventivo",S36="Manual"),"40%",IF(AND(R36="Detectivo",S36="Automático"),"40%",IF(AND(R36="Detectivo",S36="Manual"),"30%",IF(AND(R36="Correctivo",S36="Automático"),"35%",IF(AND(R36="Correctivo",S36="Manual"),"25%",""))))))</f>
        <v/>
      </c>
      <c r="U36" s="289"/>
      <c r="V36" s="289"/>
      <c r="W36" s="289"/>
      <c r="X36" s="290" t="str">
        <f t="shared" si="7"/>
        <v/>
      </c>
      <c r="Y36" s="295" t="str">
        <f t="shared" si="2"/>
        <v/>
      </c>
      <c r="Z36" s="288" t="str">
        <f t="shared" si="3"/>
        <v/>
      </c>
      <c r="AA36" s="295" t="str">
        <f t="shared" si="4"/>
        <v/>
      </c>
      <c r="AB36" s="288" t="str">
        <f t="shared" si="8"/>
        <v/>
      </c>
      <c r="AC36" s="296" t="str">
        <f t="shared" si="5"/>
        <v/>
      </c>
      <c r="AD36" s="297" t="b">
        <f>IFERROR(IF(OR(AND(AC36="Bajo",AC37="Bajo",AC38="Bajo"),AND(AC36="Bajo",AC37="Bajo",AC38=""),AND(AC36="Bajo",AC37="",AC38="")),"Bajo",IF(OR(AND(AC36="Bajo",AC37="Bajo",AC38="Moderado"),AND(AC36="Bajo",AC37="Moderado",AC38="Moderado"),AND(AC36="Moderado",AC37="Moderado",AC38="Moderado"),AND(AC36="Bajo",AC37="Moderado",AC38=""),AND(AC36="Moderado",AC37="Bajo",AC38=""),AND(AC36="Moderado",AC37="Moderado",AC38=""),AND(AC36="Moderado",AC37="",AC38="")),"Moderado",IF(OR(AND(AC36="Bajo",AC37="Bajo",AC38="Alto"),AND(AC36="Bajo",AC37="Moderado",AC38="Alto"),AND(AC36="Moderado",AC37="Bajo",AC38="Alto"),AND(AC36="Moderado",AC37="Alto",AC38="Bajo"),AND(AC36="Moderado",AC37="Moderado",AC38="Alto"),AND(AC36="Alto",AC37="Bajo",AC38="Bajo"),AND(AC36="Alto",AC37="Moderado",AC38="Bajo"),AND(AC36="Alto",AC37="Moderado",AC38="Moderado"),AND(AC36="Alto",AC37="Alto",AC38="Bajo"),AND(AC36="Alto",AC37="Alto",AC38="Moderado"),AND(AC36="Alto",AC37="Alto",AC38="Alto"),AND(AC36="Alto",AC37="Bajo",AC38=""),AND(AC36="Alto",AC37="Moderado",AC38=""),AND(AC36="Alto",AC37="Alto",AC38=""),AND(AC36="Bajo",AC37="Alto",AC38=""),AND(AC36="Moderado",AC37="Alto",AC38=""),AND(AC36="Alto",AC37="",AC38="")),"Alto",IF(OR(AND(AC36="Bajo",AC37="Bajo",AC38="Extremo"),AND(AC36="Bajo",AC37="Moderado",AC38="Extremo"),AND(AC36="Bajo",AC37="Alto",AC38="Extremo"),AND(AC36="Moderado",AC37="Bajo",AC38="Extremo"),AND(AC36="Moderado",AC37="Alto",AC38="Extremo"),AND(AC36="Moderado",AC37="Moderado",AC38="Extremo"),AND(AC36="Alto",AC37="Bajo",AC38="Extremo"),AND(AC36="Alto",AC37="Moderado",AC38="Extremo"),AND(AC36="Alto",AC37="Alto",AC38="Extremo"),AND(AC36="Extremo",AC37="Bajo",AC38="Bajo"),AND(AC36="Extremo",AC37="Bajo",AC38="Moderado"),AND(AC36="Extremo",AC37="Bajo",AC38="Alto"),AND(AC36="Extremo",AC37="Moderado",AC38="Bajo"),AND(AC36="Extremo",AC37="Moderado",AC38="Moderado"),AND(AC36="Extremo",AC37="Moderado",AC38="Alto"),AND(AC36="Extremo",AC37="Alto",AC38="Bajo"),AND(AC36="Extremo",AC37="Alto",AC38="Moderado"),AND(AC36="Extremo",AC37="Alto",AC38="Alto"),AND(AC36="Extremo",AC37="Extremo",AC38="Bajo"),AND(AC36="Extremo",AC37="Extremo",AC38="Moderado"),AND(AC36="Extremo",AC37="Extremo",AC38="Alto"),AND(AC36="Extremo",AC37="Extremo",AC38="Extremo"),AND(AC36="Extremo",AC37="Bajo",AC38=""),AND(AC36="Extremo",AC37="Moderado",AC38=""),AND(AC36="Extremo",AC37="Alto",AC38=""),AND(AC36="Extremo",AC37="",AC38="")),"Extremo")))),"")</f>
        <v>0</v>
      </c>
      <c r="AE36" s="298"/>
      <c r="AF36" s="251"/>
      <c r="AG36" s="251"/>
      <c r="AH36" s="310"/>
      <c r="AI36" s="310"/>
      <c r="AJ36" s="251"/>
      <c r="AK36" s="252"/>
    </row>
    <row r="37" spans="1:37">
      <c r="A37" s="255"/>
      <c r="B37" s="261"/>
      <c r="C37" s="251"/>
      <c r="D37" s="251"/>
      <c r="E37" s="255"/>
      <c r="F37" s="255"/>
      <c r="G37" s="255"/>
      <c r="H37" s="247"/>
      <c r="I37" s="247"/>
      <c r="J37" s="255"/>
      <c r="K37" s="247"/>
      <c r="L37" s="247"/>
      <c r="M37" s="247"/>
      <c r="N37" s="247"/>
      <c r="O37" s="252">
        <v>2</v>
      </c>
      <c r="P37" s="279"/>
      <c r="Q37" s="265" t="str">
        <f t="shared" si="0"/>
        <v/>
      </c>
      <c r="R37" s="287"/>
      <c r="S37" s="287"/>
      <c r="T37" s="288" t="str">
        <f t="shared" si="12"/>
        <v/>
      </c>
      <c r="U37" s="289"/>
      <c r="V37" s="289"/>
      <c r="W37" s="289"/>
      <c r="X37" s="290" t="str">
        <f>IFERROR(IF(AND(Q36="Probabilidad",Q37="Probabilidad"),(Z36-(+Z36*T37)),IF(Q37="Probabilidad",(I36-(+I36*T37)),IF(Q37="Impacto",Z36,""))),"")</f>
        <v/>
      </c>
      <c r="Y37" s="295" t="str">
        <f t="shared" si="2"/>
        <v/>
      </c>
      <c r="Z37" s="288" t="str">
        <f t="shared" si="3"/>
        <v/>
      </c>
      <c r="AA37" s="295" t="str">
        <f t="shared" si="4"/>
        <v/>
      </c>
      <c r="AB37" s="288" t="str">
        <f>IFERROR(IF(AND(Q36="Impacto",Q37="Impacto"),(AB36-(+AB36*T37)),IF(Q37="Impacto",($M$16-(+$M$16*T37)),IF(Q37="Probabilidad",AB36,""))),"")</f>
        <v/>
      </c>
      <c r="AC37" s="296" t="str">
        <f t="shared" si="5"/>
        <v/>
      </c>
      <c r="AD37" s="299"/>
      <c r="AE37" s="300"/>
      <c r="AF37" s="251"/>
      <c r="AG37" s="251"/>
      <c r="AH37" s="310"/>
      <c r="AI37" s="310"/>
      <c r="AJ37" s="251"/>
      <c r="AK37" s="252"/>
    </row>
    <row r="38" spans="1:37">
      <c r="A38" s="255"/>
      <c r="B38" s="263"/>
      <c r="C38" s="251"/>
      <c r="D38" s="251"/>
      <c r="E38" s="255"/>
      <c r="F38" s="255"/>
      <c r="G38" s="255"/>
      <c r="H38" s="247"/>
      <c r="I38" s="247"/>
      <c r="J38" s="255"/>
      <c r="K38" s="247"/>
      <c r="L38" s="247"/>
      <c r="M38" s="247"/>
      <c r="N38" s="247"/>
      <c r="O38" s="252">
        <v>3</v>
      </c>
      <c r="P38" s="279"/>
      <c r="Q38" s="265" t="str">
        <f t="shared" si="0"/>
        <v/>
      </c>
      <c r="R38" s="287"/>
      <c r="S38" s="287"/>
      <c r="T38" s="288" t="str">
        <f t="shared" si="12"/>
        <v/>
      </c>
      <c r="U38" s="289"/>
      <c r="V38" s="289"/>
      <c r="W38" s="289"/>
      <c r="X38" s="290" t="str">
        <f>IFERROR(IF(AND(Q37="Probabilidad",Q38="Probabilidad"),(Z37-(+Z37*T38)),IF(AND(Q37="Impacto",Q38="Probabilidad"),(Z36-(+Z36*T38)),IF(Q38="Impacto",Z37,""))),"")</f>
        <v/>
      </c>
      <c r="Y38" s="295" t="str">
        <f t="shared" si="2"/>
        <v/>
      </c>
      <c r="Z38" s="288" t="str">
        <f t="shared" si="3"/>
        <v/>
      </c>
      <c r="AA38" s="295" t="str">
        <f t="shared" si="4"/>
        <v/>
      </c>
      <c r="AB38" s="288" t="str">
        <f>IFERROR(IF(AND(Q37="Impacto",Q38="Impacto"),(AB37-(+AB37*T38)),IF(AND(Q37="Probabilidad",Q38="Impacto"),(AB36-(+AB36*T38)),IF(Q38="Probabilidad",AB37,""))),"")</f>
        <v/>
      </c>
      <c r="AC38" s="296" t="str">
        <f t="shared" si="5"/>
        <v/>
      </c>
      <c r="AD38" s="301"/>
      <c r="AE38" s="302"/>
      <c r="AF38" s="251"/>
      <c r="AG38" s="251"/>
      <c r="AH38" s="310"/>
      <c r="AI38" s="310"/>
      <c r="AJ38" s="251"/>
      <c r="AK38" s="252"/>
    </row>
    <row r="39" hidden="1" customHeight="1" spans="1:37">
      <c r="A39" s="255"/>
      <c r="B39" s="257"/>
      <c r="C39" s="257"/>
      <c r="D39" s="257"/>
      <c r="E39" s="257"/>
      <c r="F39" s="257"/>
      <c r="G39" s="258"/>
      <c r="H39" s="259" t="str">
        <f>IF(G39&lt;=0,"",IF(G39&lt;=2,"Muy Baja",IF(G39&lt;=24,"Baja",IF(G39&lt;=500,"Media",IF(G39&lt;=5000,"Alta","Muy Alta")))))</f>
        <v/>
      </c>
      <c r="I39" s="280" t="str">
        <f>IF(H39="","",IF(H39="Muy Baja",0.2,IF(H39="Baja",0.4,IF(H39="Media",0.6,IF(H39="Alta",0.8,IF(H39="Muy Alta",1,))))))</f>
        <v/>
      </c>
      <c r="J39" s="281"/>
      <c r="K39" s="280">
        <f>IF(NOT(ISERROR(MATCH(J39,'Tabla Impacto'!$B$221:$B$223,0))),'Tabla Impacto'!$F$223&amp;"Por favor no seleccionar los criterios de impacto(Afectación Económica o presupuestal y Pérdida Reputacional)",J39)</f>
        <v>0</v>
      </c>
      <c r="L39" s="259" t="str">
        <f>IF(OR(K39='Tabla Impacto'!$C$11,K39='Tabla Impacto'!$D$11),"Leve",IF(OR(K39='Tabla Impacto'!$C$12,K39='Tabla Impacto'!$D$12),"Menor",IF(OR(K39='Tabla Impacto'!$C$13,K39='Tabla Impacto'!$D$13),"Moderado",IF(OR(K39='Tabla Impacto'!$C$14,K39='Tabla Impacto'!$D$14),"Mayor",IF(OR(K39='Tabla Impacto'!$C$15,K39='Tabla Impacto'!$D$15),"Catastrófico","")))))</f>
        <v/>
      </c>
      <c r="M39" s="280" t="str">
        <f>IF(L39="","",IF(L39="Leve",0.2,IF(L39="Menor",0.4,IF(L39="Moderado",0.6,IF(L39="Mayor",0.8,IF(L39="Catastrófico",1,))))))</f>
        <v/>
      </c>
      <c r="N39" s="282"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252"/>
      <c r="P39" s="279"/>
      <c r="Q39" s="265" t="str">
        <f t="shared" si="0"/>
        <v/>
      </c>
      <c r="R39" s="287"/>
      <c r="S39" s="287"/>
      <c r="T39" s="288" t="str">
        <f t="shared" si="1"/>
        <v/>
      </c>
      <c r="U39" s="287"/>
      <c r="V39" s="287"/>
      <c r="W39" s="287"/>
      <c r="X39" s="290" t="str">
        <f t="shared" si="7"/>
        <v/>
      </c>
      <c r="Y39" s="295" t="str">
        <f t="shared" si="2"/>
        <v/>
      </c>
      <c r="Z39" s="288" t="str">
        <f t="shared" si="3"/>
        <v/>
      </c>
      <c r="AA39" s="295" t="str">
        <f t="shared" si="4"/>
        <v/>
      </c>
      <c r="AB39" s="288" t="str">
        <f t="shared" si="8"/>
        <v/>
      </c>
      <c r="AC39" s="296" t="str">
        <f t="shared" si="5"/>
        <v/>
      </c>
      <c r="AD39" s="299"/>
      <c r="AE39" s="287"/>
      <c r="AF39" s="251"/>
      <c r="AG39" s="251"/>
      <c r="AH39" s="310"/>
      <c r="AI39" s="310"/>
      <c r="AJ39" s="251"/>
      <c r="AK39" s="252"/>
    </row>
    <row r="40" hidden="1" customHeight="1" spans="1:37">
      <c r="A40" s="255"/>
      <c r="B40" s="257"/>
      <c r="C40" s="257"/>
      <c r="D40" s="257"/>
      <c r="E40" s="257"/>
      <c r="F40" s="257"/>
      <c r="G40" s="258"/>
      <c r="H40" s="259" t="str">
        <f>IF(G40&lt;=0,"",IF(G40&lt;=2,"Muy Baja",IF(G40&lt;=24,"Baja",IF(G40&lt;=500,"Media",IF(G40&lt;=5000,"Alta","Muy Alta")))))</f>
        <v/>
      </c>
      <c r="I40" s="280" t="str">
        <f>IF(H40="","",IF(H40="Muy Baja",0.2,IF(H40="Baja",0.4,IF(H40="Media",0.6,IF(H40="Alta",0.8,IF(H40="Muy Alta",1,))))))</f>
        <v/>
      </c>
      <c r="J40" s="281"/>
      <c r="K40" s="280">
        <f>IF(NOT(ISERROR(MATCH(J40,'Tabla Impacto'!$B$221:$B$223,0))),'Tabla Impacto'!$F$223&amp;"Por favor no seleccionar los criterios de impacto(Afectación Económica o presupuestal y Pérdida Reputacional)",J40)</f>
        <v>0</v>
      </c>
      <c r="L40" s="259" t="str">
        <f>IF(OR(K40='Tabla Impacto'!$C$11,K40='Tabla Impacto'!$D$11),"Leve",IF(OR(K40='Tabla Impacto'!$C$12,K40='Tabla Impacto'!$D$12),"Menor",IF(OR(K40='Tabla Impacto'!$C$13,K40='Tabla Impacto'!$D$13),"Moderado",IF(OR(K40='Tabla Impacto'!$C$14,K40='Tabla Impacto'!$D$14),"Mayor",IF(OR(K40='Tabla Impacto'!$C$15,K40='Tabla Impacto'!$D$15),"Catastrófico","")))))</f>
        <v/>
      </c>
      <c r="M40" s="280" t="str">
        <f>IF(L40="","",IF(L40="Leve",0.2,IF(L40="Menor",0.4,IF(L40="Moderado",0.6,IF(L40="Mayor",0.8,IF(L40="Catastrófico",1,))))))</f>
        <v/>
      </c>
      <c r="N40" s="282"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252"/>
      <c r="P40" s="279"/>
      <c r="Q40" s="265" t="str">
        <f t="shared" si="0"/>
        <v/>
      </c>
      <c r="R40" s="287"/>
      <c r="S40" s="287"/>
      <c r="T40" s="288" t="str">
        <f t="shared" si="1"/>
        <v/>
      </c>
      <c r="U40" s="287"/>
      <c r="V40" s="287"/>
      <c r="W40" s="287"/>
      <c r="X40" s="290" t="str">
        <f t="shared" si="7"/>
        <v/>
      </c>
      <c r="Y40" s="295" t="str">
        <f t="shared" si="2"/>
        <v/>
      </c>
      <c r="Z40" s="288" t="str">
        <f t="shared" si="3"/>
        <v/>
      </c>
      <c r="AA40" s="295" t="str">
        <f t="shared" si="4"/>
        <v/>
      </c>
      <c r="AB40" s="288" t="str">
        <f t="shared" si="8"/>
        <v/>
      </c>
      <c r="AC40" s="296" t="str">
        <f t="shared" si="5"/>
        <v/>
      </c>
      <c r="AD40" s="303"/>
      <c r="AE40" s="287"/>
      <c r="AF40" s="251"/>
      <c r="AG40" s="251"/>
      <c r="AH40" s="310"/>
      <c r="AI40" s="310"/>
      <c r="AJ40" s="251"/>
      <c r="AK40" s="252"/>
    </row>
    <row r="41" spans="1:37">
      <c r="A41" s="252">
        <v>6</v>
      </c>
      <c r="B41" s="260"/>
      <c r="C41" s="251"/>
      <c r="D41" s="251"/>
      <c r="E41" s="251"/>
      <c r="F41" s="251"/>
      <c r="G41" s="252"/>
      <c r="H41" s="253" t="str">
        <f>IF(G41&lt;=0,"",IF(G41&lt;=2,"Muy Baja",IF(G41&lt;=24,"Baja",IF(G41&lt;=500,"Media",IF(G41&lt;=5000,"Alta","Muy Alta")))))</f>
        <v/>
      </c>
      <c r="I41" s="275" t="str">
        <f>IF(H41="","",IF(H41="Muy Baja",0.2,IF(H41="Baja",0.4,IF(H41="Media",0.6,IF(H41="Alta",0.8,IF(H41="Muy Alta",1,))))))</f>
        <v/>
      </c>
      <c r="J41" s="276"/>
      <c r="K41" s="275">
        <f>IF(NOT(ISERROR(MATCH(J41,'[1]Tabla Impacto'!$B$221:$B$223,0))),'[1]Tabla Impacto'!$F$223&amp;"Por favor no seleccionar los criterios de impacto(Afectación Económica o presupuestal y Pérdida Reputacional)",J41)</f>
        <v>0</v>
      </c>
      <c r="L41" s="253" t="str">
        <f>IF(OR(K41='[1]Tabla Impacto'!$C$11,K41='[1]Tabla Impacto'!$D$11),"Leve",IF(OR(K41='[1]Tabla Impacto'!$C$12,K41='[1]Tabla Impacto'!$D$12),"Menor",IF(OR(K41='[1]Tabla Impacto'!$C$13,K41='[1]Tabla Impacto'!$D$13),"Moderado",IF(OR(K41='[1]Tabla Impacto'!$C$14,K41='[1]Tabla Impacto'!$D$14),"Mayor",IF(OR(K41='[1]Tabla Impacto'!$C$15,K41='[1]Tabla Impacto'!$D$15),"Catastrófico","")))))</f>
        <v/>
      </c>
      <c r="M41" s="275" t="str">
        <f>IF(L41="","",IF(L41="Leve",0.2,IF(L41="Menor",0.4,IF(L41="Moderado",0.6,IF(L41="Mayor",0.8,IF(L41="Catastrófico",1,))))))</f>
        <v/>
      </c>
      <c r="N41" s="277" t="str">
        <f>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
      </c>
      <c r="O41" s="252">
        <v>1</v>
      </c>
      <c r="P41" s="279"/>
      <c r="Q41" s="265" t="str">
        <f t="shared" si="0"/>
        <v/>
      </c>
      <c r="R41" s="287"/>
      <c r="S41" s="287"/>
      <c r="T41" s="288" t="str">
        <f t="shared" ref="T41:T43" si="13">IF(AND(R41="Preventivo",S41="Automático"),"50%",IF(AND(R41="Preventivo",S41="Manual"),"40%",IF(AND(R41="Detectivo",S41="Automático"),"40%",IF(AND(R41="Detectivo",S41="Manual"),"30%",IF(AND(R41="Correctivo",S41="Automático"),"35%",IF(AND(R41="Correctivo",S41="Manual"),"25%",""))))))</f>
        <v/>
      </c>
      <c r="U41" s="289"/>
      <c r="V41" s="289"/>
      <c r="W41" s="289"/>
      <c r="X41" s="290" t="str">
        <f t="shared" si="7"/>
        <v/>
      </c>
      <c r="Y41" s="295" t="str">
        <f t="shared" si="2"/>
        <v/>
      </c>
      <c r="Z41" s="288" t="str">
        <f t="shared" si="3"/>
        <v/>
      </c>
      <c r="AA41" s="295" t="str">
        <f t="shared" si="4"/>
        <v/>
      </c>
      <c r="AB41" s="288" t="str">
        <f t="shared" si="8"/>
        <v/>
      </c>
      <c r="AC41" s="296" t="str">
        <f t="shared" si="5"/>
        <v/>
      </c>
      <c r="AD41" s="297" t="b">
        <f>IFERROR(IF(OR(AND(AC41="Bajo",AC42="Bajo",AC43="Bajo"),AND(AC41="Bajo",AC42="Bajo",AC43=""),AND(AC41="Bajo",AC42="",AC43="")),"Bajo",IF(OR(AND(AC41="Bajo",AC42="Bajo",AC43="Moderado"),AND(AC41="Bajo",AC42="Moderado",AC43="Moderado"),AND(AC41="Moderado",AC42="Moderado",AC43="Moderado"),AND(AC41="Bajo",AC42="Moderado",AC43=""),AND(AC41="Moderado",AC42="Bajo",AC43=""),AND(AC41="Moderado",AC42="Moderado",AC43=""),AND(AC41="Moderado",AC42="",AC43="")),"Moderado",IF(OR(AND(AC41="Bajo",AC42="Bajo",AC43="Alto"),AND(AC41="Bajo",AC42="Moderado",AC43="Alto"),AND(AC41="Moderado",AC42="Bajo",AC43="Alto"),AND(AC41="Moderado",AC42="Alto",AC43="Bajo"),AND(AC41="Moderado",AC42="Moderado",AC43="Alto"),AND(AC41="Alto",AC42="Bajo",AC43="Bajo"),AND(AC41="Alto",AC42="Moderado",AC43="Bajo"),AND(AC41="Alto",AC42="Moderado",AC43="Moderado"),AND(AC41="Alto",AC42="Alto",AC43="Bajo"),AND(AC41="Alto",AC42="Alto",AC43="Moderado"),AND(AC41="Alto",AC42="Alto",AC43="Alto"),AND(AC41="Alto",AC42="Bajo",AC43=""),AND(AC41="Alto",AC42="Moderado",AC43=""),AND(AC41="Alto",AC42="Alto",AC43=""),AND(AC41="Bajo",AC42="Alto",AC43=""),AND(AC41="Moderado",AC42="Alto",AC43=""),AND(AC41="Alto",AC42="",AC43="")),"Alto",IF(OR(AND(AC41="Bajo",AC42="Bajo",AC43="Extremo"),AND(AC41="Bajo",AC42="Moderado",AC43="Extremo"),AND(AC41="Bajo",AC42="Alto",AC43="Extremo"),AND(AC41="Moderado",AC42="Bajo",AC43="Extremo"),AND(AC41="Moderado",AC42="Alto",AC43="Extremo"),AND(AC41="Moderado",AC42="Moderado",AC43="Extremo"),AND(AC41="Alto",AC42="Bajo",AC43="Extremo"),AND(AC41="Alto",AC42="Moderado",AC43="Extremo"),AND(AC41="Alto",AC42="Alto",AC43="Extremo"),AND(AC41="Extremo",AC42="Bajo",AC43="Bajo"),AND(AC41="Extremo",AC42="Bajo",AC43="Moderado"),AND(AC41="Extremo",AC42="Bajo",AC43="Alto"),AND(AC41="Extremo",AC42="Moderado",AC43="Bajo"),AND(AC41="Extremo",AC42="Moderado",AC43="Moderado"),AND(AC41="Extremo",AC42="Moderado",AC43="Alto"),AND(AC41="Extremo",AC42="Alto",AC43="Bajo"),AND(AC41="Extremo",AC42="Alto",AC43="Moderado"),AND(AC41="Extremo",AC42="Alto",AC43="Alto"),AND(AC41="Extremo",AC42="Extremo",AC43="Bajo"),AND(AC41="Extremo",AC42="Extremo",AC43="Moderado"),AND(AC41="Extremo",AC42="Extremo",AC43="Alto"),AND(AC41="Extremo",AC42="Extremo",AC43="Extremo"),AND(AC41="Extremo",AC42="Bajo",AC43=""),AND(AC41="Extremo",AC42="Moderado",AC43=""),AND(AC41="Extremo",AC42="Alto",AC43=""),AND(AC41="Extremo",AC42="",AC43="")),"Extremo")))),"")</f>
        <v>0</v>
      </c>
      <c r="AE41" s="298"/>
      <c r="AF41" s="251"/>
      <c r="AG41" s="251"/>
      <c r="AH41" s="310"/>
      <c r="AI41" s="310"/>
      <c r="AJ41" s="251"/>
      <c r="AK41" s="252"/>
    </row>
    <row r="42" spans="1:37">
      <c r="A42" s="255"/>
      <c r="B42" s="261"/>
      <c r="C42" s="251"/>
      <c r="D42" s="251"/>
      <c r="E42" s="255"/>
      <c r="F42" s="255"/>
      <c r="G42" s="255"/>
      <c r="H42" s="247"/>
      <c r="I42" s="247"/>
      <c r="J42" s="255"/>
      <c r="K42" s="247"/>
      <c r="L42" s="247"/>
      <c r="M42" s="247"/>
      <c r="N42" s="247"/>
      <c r="O42" s="252">
        <v>2</v>
      </c>
      <c r="P42" s="279"/>
      <c r="Q42" s="265" t="str">
        <f t="shared" si="0"/>
        <v/>
      </c>
      <c r="R42" s="287"/>
      <c r="S42" s="287"/>
      <c r="T42" s="288" t="str">
        <f t="shared" si="13"/>
        <v/>
      </c>
      <c r="U42" s="289"/>
      <c r="V42" s="289"/>
      <c r="W42" s="289"/>
      <c r="X42" s="290" t="str">
        <f>IFERROR(IF(AND(Q41="Probabilidad",Q42="Probabilidad"),(Z41-(+Z41*T42)),IF(Q42="Probabilidad",(I41-(+I41*T42)),IF(Q42="Impacto",Z41,""))),"")</f>
        <v/>
      </c>
      <c r="Y42" s="295" t="str">
        <f t="shared" si="2"/>
        <v/>
      </c>
      <c r="Z42" s="288" t="str">
        <f t="shared" si="3"/>
        <v/>
      </c>
      <c r="AA42" s="295" t="str">
        <f t="shared" si="4"/>
        <v/>
      </c>
      <c r="AB42" s="288" t="str">
        <f>IFERROR(IF(AND(Q41="Impacto",Q42="Impacto"),(AB41-(+AB41*T42)),IF(Q42="Impacto",($M$16-(+$M$16*T42)),IF(Q42="Probabilidad",AB41,""))),"")</f>
        <v/>
      </c>
      <c r="AC42" s="296" t="str">
        <f t="shared" si="5"/>
        <v/>
      </c>
      <c r="AD42" s="299"/>
      <c r="AE42" s="300"/>
      <c r="AF42" s="251"/>
      <c r="AG42" s="251"/>
      <c r="AH42" s="310"/>
      <c r="AI42" s="310"/>
      <c r="AJ42" s="251"/>
      <c r="AK42" s="252"/>
    </row>
    <row r="43" spans="1:37">
      <c r="A43" s="255"/>
      <c r="B43" s="263"/>
      <c r="C43" s="251"/>
      <c r="D43" s="251"/>
      <c r="E43" s="255"/>
      <c r="F43" s="255"/>
      <c r="G43" s="255"/>
      <c r="H43" s="247"/>
      <c r="I43" s="247"/>
      <c r="J43" s="255"/>
      <c r="K43" s="247"/>
      <c r="L43" s="247"/>
      <c r="M43" s="247"/>
      <c r="N43" s="247"/>
      <c r="O43" s="252">
        <v>3</v>
      </c>
      <c r="P43" s="279"/>
      <c r="Q43" s="265" t="str">
        <f t="shared" si="0"/>
        <v/>
      </c>
      <c r="R43" s="287"/>
      <c r="S43" s="287"/>
      <c r="T43" s="288" t="str">
        <f t="shared" si="13"/>
        <v/>
      </c>
      <c r="U43" s="289"/>
      <c r="V43" s="289"/>
      <c r="W43" s="289"/>
      <c r="X43" s="290" t="str">
        <f>IFERROR(IF(AND(Q42="Probabilidad",Q43="Probabilidad"),(Z42-(+Z42*T43)),IF(AND(Q42="Impacto",Q43="Probabilidad"),(Z41-(+Z41*T43)),IF(Q43="Impacto",Z42,""))),"")</f>
        <v/>
      </c>
      <c r="Y43" s="295" t="str">
        <f t="shared" si="2"/>
        <v/>
      </c>
      <c r="Z43" s="288" t="str">
        <f t="shared" si="3"/>
        <v/>
      </c>
      <c r="AA43" s="295" t="str">
        <f t="shared" si="4"/>
        <v/>
      </c>
      <c r="AB43" s="288" t="str">
        <f>IFERROR(IF(AND(Q42="Impacto",Q43="Impacto"),(AB42-(+AB42*T43)),IF(AND(Q42="Probabilidad",Q43="Impacto"),(AB41-(+AB41*T43)),IF(Q43="Probabilidad",AB42,""))),"")</f>
        <v/>
      </c>
      <c r="AC43" s="296" t="str">
        <f t="shared" si="5"/>
        <v/>
      </c>
      <c r="AD43" s="301"/>
      <c r="AE43" s="302"/>
      <c r="AF43" s="251"/>
      <c r="AG43" s="251"/>
      <c r="AH43" s="310"/>
      <c r="AI43" s="310"/>
      <c r="AJ43" s="251"/>
      <c r="AK43" s="252"/>
    </row>
    <row r="44" hidden="1" spans="1:37">
      <c r="A44" s="255"/>
      <c r="B44" s="257"/>
      <c r="C44" s="257"/>
      <c r="D44" s="257"/>
      <c r="E44" s="257"/>
      <c r="F44" s="257"/>
      <c r="G44" s="258"/>
      <c r="H44" s="259" t="str">
        <f>IF(G44&lt;=0,"",IF(G44&lt;=2,"Muy Baja",IF(G44&lt;=24,"Baja",IF(G44&lt;=500,"Media",IF(G44&lt;=5000,"Alta","Muy Alta")))))</f>
        <v/>
      </c>
      <c r="I44" s="280" t="str">
        <f>IF(H44="","",IF(H44="Muy Baja",0.2,IF(H44="Baja",0.4,IF(H44="Media",0.6,IF(H44="Alta",0.8,IF(H44="Muy Alta",1,))))))</f>
        <v/>
      </c>
      <c r="J44" s="281"/>
      <c r="K44" s="280">
        <f>IF(NOT(ISERROR(MATCH(J44,'Tabla Impacto'!$B$221:$B$223,0))),'Tabla Impacto'!$F$223&amp;"Por favor no seleccionar los criterios de impacto(Afectación Económica o presupuestal y Pérdida Reputacional)",J44)</f>
        <v>0</v>
      </c>
      <c r="L44" s="259" t="str">
        <f>IF(OR(K44='Tabla Impacto'!$C$11,K44='Tabla Impacto'!$D$11),"Leve",IF(OR(K44='Tabla Impacto'!$C$12,K44='Tabla Impacto'!$D$12),"Menor",IF(OR(K44='Tabla Impacto'!$C$13,K44='Tabla Impacto'!$D$13),"Moderado",IF(OR(K44='Tabla Impacto'!$C$14,K44='Tabla Impacto'!$D$14),"Mayor",IF(OR(K44='Tabla Impacto'!$C$15,K44='Tabla Impacto'!$D$15),"Catastrófico","")))))</f>
        <v/>
      </c>
      <c r="M44" s="280" t="str">
        <f>IF(L44="","",IF(L44="Leve",0.2,IF(L44="Menor",0.4,IF(L44="Moderado",0.6,IF(L44="Mayor",0.8,IF(L44="Catastrófico",1,))))))</f>
        <v/>
      </c>
      <c r="N44" s="282"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252"/>
      <c r="P44" s="251"/>
      <c r="Q44" s="265"/>
      <c r="R44" s="287"/>
      <c r="S44" s="287"/>
      <c r="T44" s="288" t="str">
        <f t="shared" ref="T44:T45" si="14">IF(AND(R44="Preventivo",S44="Automático"),"50%",IF(AND(R44="Preventivo",S44="Manual"),"40%",IF(AND(R44="Detectivo",S44="Automático"),"40%",IF(AND(R44="Detectivo",S44="Manual"),"30%",IF(AND(R44="Correctivo",S44="Automático"),"35%",IF(AND(R44="Correctivo",S44="Manual"),"25%",""))))))</f>
        <v/>
      </c>
      <c r="U44" s="287"/>
      <c r="V44" s="287"/>
      <c r="W44" s="287"/>
      <c r="X44" s="290" t="str">
        <f t="shared" ref="X44:X45" si="15">IFERROR(IF(Q44="Probabilidad",(I44-(+I44*T44)),IF(Q44="Impacto",I44,"")),"")</f>
        <v/>
      </c>
      <c r="Y44" s="295" t="str">
        <f t="shared" ref="Y44:Y45" si="16">IFERROR(IF(X44="","",IF(X44&lt;=0.2,"Muy Baja",IF(X44&lt;=0.4,"Baja",IF(X44&lt;=0.6,"Media",IF(X44&lt;=0.8,"Alta","Muy Alta"))))),"")</f>
        <v/>
      </c>
      <c r="Z44" s="288" t="str">
        <f t="shared" ref="Z44:Z45" si="17">+X44</f>
        <v/>
      </c>
      <c r="AA44" s="295" t="str">
        <f t="shared" ref="AA44:AA45" si="18">IFERROR(IF(AB44="","",IF(AB44&lt;=0.2,"Leve",IF(AB44&lt;=0.4,"Menor",IF(AB44&lt;=0.6,"Moderado",IF(AB44&lt;=0.8,"Mayor","Catastrófico"))))),"")</f>
        <v/>
      </c>
      <c r="AB44" s="288" t="str">
        <f t="shared" ref="AB44:AB45" si="19">IFERROR(IF(Q44="Impacto",(M44-(+M44*T44)),IF(Q44="Probabilidad",M44,"")),"")</f>
        <v/>
      </c>
      <c r="AC44" s="296" t="str">
        <f t="shared" ref="AC44:AC45" si="20">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299"/>
      <c r="AE44" s="287"/>
      <c r="AF44" s="251"/>
      <c r="AG44" s="251"/>
      <c r="AH44" s="310"/>
      <c r="AI44" s="310"/>
      <c r="AJ44" s="251"/>
      <c r="AK44" s="252"/>
    </row>
    <row r="45" hidden="1" spans="1:37">
      <c r="A45" s="255"/>
      <c r="B45" s="257"/>
      <c r="C45" s="257"/>
      <c r="D45" s="257"/>
      <c r="E45" s="257"/>
      <c r="F45" s="257"/>
      <c r="G45" s="258"/>
      <c r="H45" s="259" t="str">
        <f>IF(G45&lt;=0,"",IF(G45&lt;=2,"Muy Baja",IF(G45&lt;=24,"Baja",IF(G45&lt;=500,"Media",IF(G45&lt;=5000,"Alta","Muy Alta")))))</f>
        <v/>
      </c>
      <c r="I45" s="280" t="str">
        <f>IF(H45="","",IF(H45="Muy Baja",0.2,IF(H45="Baja",0.4,IF(H45="Media",0.6,IF(H45="Alta",0.8,IF(H45="Muy Alta",1,))))))</f>
        <v/>
      </c>
      <c r="J45" s="281"/>
      <c r="K45" s="280">
        <f>IF(NOT(ISERROR(MATCH(J45,'Tabla Impacto'!$B$221:$B$223,0))),'Tabla Impacto'!$F$223&amp;"Por favor no seleccionar los criterios de impacto(Afectación Económica o presupuestal y Pérdida Reputacional)",J45)</f>
        <v>0</v>
      </c>
      <c r="L45" s="259" t="str">
        <f>IF(OR(K45='Tabla Impacto'!$C$11,K45='Tabla Impacto'!$D$11),"Leve",IF(OR(K45='Tabla Impacto'!$C$12,K45='Tabla Impacto'!$D$12),"Menor",IF(OR(K45='Tabla Impacto'!$C$13,K45='Tabla Impacto'!$D$13),"Moderado",IF(OR(K45='Tabla Impacto'!$C$14,K45='Tabla Impacto'!$D$14),"Mayor",IF(OR(K45='Tabla Impacto'!$C$15,K45='Tabla Impacto'!$D$15),"Catastrófico","")))))</f>
        <v/>
      </c>
      <c r="M45" s="280" t="str">
        <f>IF(L45="","",IF(L45="Leve",0.2,IF(L45="Menor",0.4,IF(L45="Moderado",0.6,IF(L45="Mayor",0.8,IF(L45="Catastrófico",1,))))))</f>
        <v/>
      </c>
      <c r="N45" s="282"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252"/>
      <c r="P45" s="251"/>
      <c r="Q45" s="252" t="str">
        <f t="shared" ref="Q45" si="21">IF(OR(R45="Preventivo",R45="Detectivo"),"Probabilidad",IF(R45="Correctivo","Impacto",""))</f>
        <v/>
      </c>
      <c r="R45" s="287"/>
      <c r="S45" s="287"/>
      <c r="T45" s="288" t="str">
        <f t="shared" si="14"/>
        <v/>
      </c>
      <c r="U45" s="287"/>
      <c r="V45" s="287"/>
      <c r="W45" s="287"/>
      <c r="X45" s="290" t="str">
        <f t="shared" si="15"/>
        <v/>
      </c>
      <c r="Y45" s="295" t="str">
        <f t="shared" si="16"/>
        <v/>
      </c>
      <c r="Z45" s="288" t="str">
        <f t="shared" si="17"/>
        <v/>
      </c>
      <c r="AA45" s="295" t="str">
        <f t="shared" si="18"/>
        <v/>
      </c>
      <c r="AB45" s="288" t="str">
        <f t="shared" si="19"/>
        <v/>
      </c>
      <c r="AC45" s="296" t="str">
        <f t="shared" si="20"/>
        <v/>
      </c>
      <c r="AD45" s="303"/>
      <c r="AE45" s="287"/>
      <c r="AF45" s="251"/>
      <c r="AG45" s="251"/>
      <c r="AH45" s="310"/>
      <c r="AI45" s="310"/>
      <c r="AJ45" s="251"/>
      <c r="AK45" s="252"/>
    </row>
    <row r="46" s="221" customFormat="1" spans="1:37">
      <c r="A46" s="265"/>
      <c r="B46" s="266" t="s">
        <v>77</v>
      </c>
      <c r="C46" s="266"/>
      <c r="D46" s="266"/>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row>
    <row r="47" spans="2:30">
      <c r="B47" s="267" t="s">
        <v>78</v>
      </c>
      <c r="AD47" s="304"/>
    </row>
    <row r="48" spans="30:30">
      <c r="AD48" s="304"/>
    </row>
  </sheetData>
  <sheetProtection algorithmName="SHA-512" hashValue="MJRnfmb/iEo5Vm36kQGX4mvnn/sm+PUdMubom25awPv/uaeFRIh/e+DZ9pZdLlE6rIk9FHEthKvKQbpat+tXmA==" saltValue="FNqcJvtdn8zvMhAKBC2LDA==" spinCount="100000" sheet="1" selectLockedCells="1" formatCells="0" formatColumns="0" formatRows="0" insertRows="0" insertHyperlinks="0" deleteRows="0" sort="0" autoFilter="0"/>
  <mergeCells count="155">
    <mergeCell ref="E1:AK1"/>
    <mergeCell ref="E2:AK2"/>
    <mergeCell ref="E3:AK3"/>
    <mergeCell ref="E4:M4"/>
    <mergeCell ref="N4:X4"/>
    <mergeCell ref="Y4:AG4"/>
    <mergeCell ref="AH4:AK4"/>
    <mergeCell ref="E5:M5"/>
    <mergeCell ref="N5:X5"/>
    <mergeCell ref="Y5:AG5"/>
    <mergeCell ref="AH5:AK5"/>
    <mergeCell ref="A10:B10"/>
    <mergeCell ref="C10:N10"/>
    <mergeCell ref="O10:Q10"/>
    <mergeCell ref="A11:B11"/>
    <mergeCell ref="C11:N11"/>
    <mergeCell ref="A12:B12"/>
    <mergeCell ref="C12:N12"/>
    <mergeCell ref="A13:G13"/>
    <mergeCell ref="H13:N13"/>
    <mergeCell ref="O13:W13"/>
    <mergeCell ref="X13:AE13"/>
    <mergeCell ref="AF13:AK13"/>
    <mergeCell ref="R14:W14"/>
    <mergeCell ref="B46:AK46"/>
    <mergeCell ref="A14:A15"/>
    <mergeCell ref="A16:A18"/>
    <mergeCell ref="A21:A23"/>
    <mergeCell ref="A26:A28"/>
    <mergeCell ref="A31:A33"/>
    <mergeCell ref="A36:A38"/>
    <mergeCell ref="A41:A43"/>
    <mergeCell ref="B14:B15"/>
    <mergeCell ref="B16:B18"/>
    <mergeCell ref="B21:B23"/>
    <mergeCell ref="B26:B28"/>
    <mergeCell ref="B31:B33"/>
    <mergeCell ref="B36:B38"/>
    <mergeCell ref="B41:B43"/>
    <mergeCell ref="C14:C15"/>
    <mergeCell ref="C16:C18"/>
    <mergeCell ref="C21:C23"/>
    <mergeCell ref="C26:C28"/>
    <mergeCell ref="C31:C33"/>
    <mergeCell ref="C36:C38"/>
    <mergeCell ref="C41:C43"/>
    <mergeCell ref="D14:D15"/>
    <mergeCell ref="D16:D18"/>
    <mergeCell ref="D21:D23"/>
    <mergeCell ref="D26:D28"/>
    <mergeCell ref="D31:D33"/>
    <mergeCell ref="D36:D38"/>
    <mergeCell ref="D41:D43"/>
    <mergeCell ref="E14:E15"/>
    <mergeCell ref="E16:E18"/>
    <mergeCell ref="E21:E23"/>
    <mergeCell ref="E26:E28"/>
    <mergeCell ref="E31:E33"/>
    <mergeCell ref="E36:E38"/>
    <mergeCell ref="E41:E43"/>
    <mergeCell ref="F14:F15"/>
    <mergeCell ref="F16:F18"/>
    <mergeCell ref="F21:F23"/>
    <mergeCell ref="F26:F28"/>
    <mergeCell ref="F31:F33"/>
    <mergeCell ref="F36:F38"/>
    <mergeCell ref="F41:F43"/>
    <mergeCell ref="G14:G15"/>
    <mergeCell ref="G16:G18"/>
    <mergeCell ref="G21:G23"/>
    <mergeCell ref="G26:G28"/>
    <mergeCell ref="G31:G33"/>
    <mergeCell ref="G36:G38"/>
    <mergeCell ref="G41:G43"/>
    <mergeCell ref="H14:H15"/>
    <mergeCell ref="H16:H18"/>
    <mergeCell ref="H21:H23"/>
    <mergeCell ref="H26:H28"/>
    <mergeCell ref="H31:H33"/>
    <mergeCell ref="H36:H38"/>
    <mergeCell ref="H41:H43"/>
    <mergeCell ref="I14:I15"/>
    <mergeCell ref="I16:I18"/>
    <mergeCell ref="I21:I23"/>
    <mergeCell ref="I26:I28"/>
    <mergeCell ref="I31:I33"/>
    <mergeCell ref="I36:I38"/>
    <mergeCell ref="I41:I43"/>
    <mergeCell ref="J14:J15"/>
    <mergeCell ref="J16:J18"/>
    <mergeCell ref="J21:J23"/>
    <mergeCell ref="J26:J28"/>
    <mergeCell ref="J31:J33"/>
    <mergeCell ref="J36:J38"/>
    <mergeCell ref="J41:J43"/>
    <mergeCell ref="K14:K15"/>
    <mergeCell ref="K16:K18"/>
    <mergeCell ref="K21:K23"/>
    <mergeCell ref="K26:K28"/>
    <mergeCell ref="K31:K33"/>
    <mergeCell ref="K36:K38"/>
    <mergeCell ref="K41:K43"/>
    <mergeCell ref="L14:L15"/>
    <mergeCell ref="L16:L18"/>
    <mergeCell ref="L21:L23"/>
    <mergeCell ref="L26:L28"/>
    <mergeCell ref="L31:L33"/>
    <mergeCell ref="L36:L38"/>
    <mergeCell ref="L41:L43"/>
    <mergeCell ref="M14:M15"/>
    <mergeCell ref="M16:M18"/>
    <mergeCell ref="M21:M23"/>
    <mergeCell ref="M26:M28"/>
    <mergeCell ref="M31:M33"/>
    <mergeCell ref="M36:M38"/>
    <mergeCell ref="M41:M43"/>
    <mergeCell ref="N14:N15"/>
    <mergeCell ref="N16:N18"/>
    <mergeCell ref="N21:N23"/>
    <mergeCell ref="N26:N28"/>
    <mergeCell ref="N31:N33"/>
    <mergeCell ref="N36:N38"/>
    <mergeCell ref="N41:N43"/>
    <mergeCell ref="O14:O15"/>
    <mergeCell ref="P14:P15"/>
    <mergeCell ref="Q14:Q15"/>
    <mergeCell ref="X14:X15"/>
    <mergeCell ref="Y14:Y15"/>
    <mergeCell ref="Z14:Z15"/>
    <mergeCell ref="AA14:AA15"/>
    <mergeCell ref="AB14:AB15"/>
    <mergeCell ref="AC14:AC15"/>
    <mergeCell ref="AD10:AD12"/>
    <mergeCell ref="AD14:AD15"/>
    <mergeCell ref="AD16:AD18"/>
    <mergeCell ref="AD21:AD23"/>
    <mergeCell ref="AD26:AD28"/>
    <mergeCell ref="AD31:AD33"/>
    <mergeCell ref="AD36:AD38"/>
    <mergeCell ref="AD41:AD43"/>
    <mergeCell ref="AE14:AE15"/>
    <mergeCell ref="AE16:AE18"/>
    <mergeCell ref="AE21:AE23"/>
    <mergeCell ref="AE26:AE28"/>
    <mergeCell ref="AE31:AE33"/>
    <mergeCell ref="AE36:AE38"/>
    <mergeCell ref="AE41:AE43"/>
    <mergeCell ref="AF14:AF15"/>
    <mergeCell ref="AG14:AG15"/>
    <mergeCell ref="AH14:AH15"/>
    <mergeCell ref="AI14:AI15"/>
    <mergeCell ref="AJ14:AJ15"/>
    <mergeCell ref="AK14:AK15"/>
    <mergeCell ref="A1:D5"/>
    <mergeCell ref="A7:AK8"/>
  </mergeCells>
  <conditionalFormatting sqref="H16">
    <cfRule type="cellIs" dxfId="0" priority="179" operator="equal">
      <formula>"Alta"</formula>
    </cfRule>
    <cfRule type="cellIs" dxfId="1" priority="178" operator="equal">
      <formula>"Muy Alta"</formula>
    </cfRule>
    <cfRule type="cellIs" dxfId="2" priority="180" operator="equal">
      <formula>"Media"</formula>
    </cfRule>
    <cfRule type="cellIs" dxfId="3" priority="181" operator="equal">
      <formula>"Baja"</formula>
    </cfRule>
    <cfRule type="cellIs" dxfId="4" priority="182" operator="equal">
      <formula>"Muy Baja"</formula>
    </cfRule>
  </conditionalFormatting>
  <conditionalFormatting sqref="L16">
    <cfRule type="cellIs" dxfId="1" priority="148" operator="equal">
      <formula>"Catastrófico"</formula>
    </cfRule>
    <cfRule type="cellIs" dxfId="0" priority="149" operator="equal">
      <formula>"Mayor"</formula>
    </cfRule>
    <cfRule type="cellIs" dxfId="2" priority="150" operator="equal">
      <formula>"Moderado"</formula>
    </cfRule>
    <cfRule type="cellIs" dxfId="3" priority="151" operator="equal">
      <formula>"Menor"</formula>
    </cfRule>
    <cfRule type="cellIs" dxfId="4" priority="152" operator="equal">
      <formula>"Leve"</formula>
    </cfRule>
  </conditionalFormatting>
  <conditionalFormatting sqref="N16">
    <cfRule type="cellIs" dxfId="4" priority="122" operator="equal">
      <formula>"Bajo"</formula>
    </cfRule>
    <cfRule type="cellIs" dxfId="5" priority="119" operator="equal">
      <formula>"Extremo"</formula>
    </cfRule>
    <cfRule type="cellIs" dxfId="6" priority="120" operator="equal">
      <formula>"Alto"</formula>
    </cfRule>
    <cfRule type="cellIs" dxfId="7" priority="121" operator="equal">
      <formula>"Moderado"</formula>
    </cfRule>
  </conditionalFormatting>
  <conditionalFormatting sqref="H19:H21">
    <cfRule type="cellIs" dxfId="4" priority="70" operator="equal">
      <formula>"Muy Baja"</formula>
    </cfRule>
    <cfRule type="cellIs" dxfId="3" priority="69" operator="equal">
      <formula>"Baja"</formula>
    </cfRule>
    <cfRule type="cellIs" dxfId="2" priority="68" operator="equal">
      <formula>"Media"</formula>
    </cfRule>
    <cfRule type="cellIs" dxfId="0" priority="67" operator="equal">
      <formula>"Alta"</formula>
    </cfRule>
    <cfRule type="cellIs" dxfId="1" priority="66" operator="equal">
      <formula>"Muy Alta"</formula>
    </cfRule>
  </conditionalFormatting>
  <conditionalFormatting sqref="H24:H26">
    <cfRule type="cellIs" dxfId="3" priority="64" operator="equal">
      <formula>"Baja"</formula>
    </cfRule>
    <cfRule type="cellIs" dxfId="2" priority="63" operator="equal">
      <formula>"Media"</formula>
    </cfRule>
    <cfRule type="cellIs" dxfId="0" priority="62" operator="equal">
      <formula>"Alta"</formula>
    </cfRule>
    <cfRule type="cellIs" dxfId="1" priority="61" operator="equal">
      <formula>"Muy Alta"</formula>
    </cfRule>
    <cfRule type="cellIs" dxfId="4" priority="65" operator="equal">
      <formula>"Muy Baja"</formula>
    </cfRule>
  </conditionalFormatting>
  <conditionalFormatting sqref="H29:H31">
    <cfRule type="cellIs" dxfId="4" priority="60" operator="equal">
      <formula>"Muy Baja"</formula>
    </cfRule>
    <cfRule type="cellIs" dxfId="3" priority="59" operator="equal">
      <formula>"Baja"</formula>
    </cfRule>
    <cfRule type="cellIs" dxfId="2" priority="58" operator="equal">
      <formula>"Media"</formula>
    </cfRule>
    <cfRule type="cellIs" dxfId="0" priority="57" operator="equal">
      <formula>"Alta"</formula>
    </cfRule>
    <cfRule type="cellIs" dxfId="1" priority="56" operator="equal">
      <formula>"Muy Alta"</formula>
    </cfRule>
  </conditionalFormatting>
  <conditionalFormatting sqref="H34:H36">
    <cfRule type="cellIs" dxfId="2" priority="53" operator="equal">
      <formula>"Media"</formula>
    </cfRule>
    <cfRule type="cellIs" dxfId="3" priority="54" operator="equal">
      <formula>"Baja"</formula>
    </cfRule>
    <cfRule type="cellIs" dxfId="4" priority="55" operator="equal">
      <formula>"Muy Baja"</formula>
    </cfRule>
    <cfRule type="cellIs" dxfId="1" priority="51" operator="equal">
      <formula>"Muy Alta"</formula>
    </cfRule>
    <cfRule type="cellIs" dxfId="0" priority="52" operator="equal">
      <formula>"Alta"</formula>
    </cfRule>
  </conditionalFormatting>
  <conditionalFormatting sqref="H39:H41">
    <cfRule type="cellIs" dxfId="3" priority="49" operator="equal">
      <formula>"Baja"</formula>
    </cfRule>
    <cfRule type="cellIs" dxfId="1" priority="46" operator="equal">
      <formula>"Muy Alta"</formula>
    </cfRule>
    <cfRule type="cellIs" dxfId="0" priority="47" operator="equal">
      <formula>"Alta"</formula>
    </cfRule>
    <cfRule type="cellIs" dxfId="2" priority="48" operator="equal">
      <formula>"Media"</formula>
    </cfRule>
    <cfRule type="cellIs" dxfId="4" priority="50" operator="equal">
      <formula>"Muy Baja"</formula>
    </cfRule>
  </conditionalFormatting>
  <conditionalFormatting sqref="H44:H45">
    <cfRule type="cellIs" dxfId="1" priority="189" operator="equal">
      <formula>"Muy Alta"</formula>
    </cfRule>
    <cfRule type="cellIs" dxfId="4" priority="193" operator="equal">
      <formula>"Muy Baja"</formula>
    </cfRule>
    <cfRule type="cellIs" dxfId="0" priority="190" operator="equal">
      <formula>"Alta"</formula>
    </cfRule>
    <cfRule type="cellIs" dxfId="2" priority="191" operator="equal">
      <formula>"Media"</formula>
    </cfRule>
    <cfRule type="cellIs" dxfId="3" priority="192" operator="equal">
      <formula>"Baja"</formula>
    </cfRule>
  </conditionalFormatting>
  <conditionalFormatting sqref="K16:K45">
    <cfRule type="containsText" dxfId="8" priority="183" operator="between" text="❌">
      <formula>NOT(ISERROR(SEARCH("❌",K16)))</formula>
    </cfRule>
  </conditionalFormatting>
  <conditionalFormatting sqref="L19:L21">
    <cfRule type="cellIs" dxfId="1" priority="41" operator="equal">
      <formula>"Catastrófico"</formula>
    </cfRule>
    <cfRule type="cellIs" dxfId="3" priority="44" operator="equal">
      <formula>"Menor"</formula>
    </cfRule>
    <cfRule type="cellIs" dxfId="4" priority="45" operator="equal">
      <formula>"Leve"</formula>
    </cfRule>
    <cfRule type="cellIs" dxfId="2" priority="43" operator="equal">
      <formula>"Moderado"</formula>
    </cfRule>
    <cfRule type="cellIs" dxfId="0" priority="42" operator="equal">
      <formula>"Mayor"</formula>
    </cfRule>
  </conditionalFormatting>
  <conditionalFormatting sqref="L24:L26">
    <cfRule type="cellIs" dxfId="1" priority="36" operator="equal">
      <formula>"Catastrófico"</formula>
    </cfRule>
    <cfRule type="cellIs" dxfId="0" priority="37" operator="equal">
      <formula>"Mayor"</formula>
    </cfRule>
    <cfRule type="cellIs" dxfId="2" priority="38" operator="equal">
      <formula>"Moderado"</formula>
    </cfRule>
    <cfRule type="cellIs" dxfId="3" priority="39" operator="equal">
      <formula>"Menor"</formula>
    </cfRule>
    <cfRule type="cellIs" dxfId="4" priority="40" operator="equal">
      <formula>"Leve"</formula>
    </cfRule>
  </conditionalFormatting>
  <conditionalFormatting sqref="L29:L31">
    <cfRule type="cellIs" dxfId="1" priority="31" operator="equal">
      <formula>"Catastrófico"</formula>
    </cfRule>
    <cfRule type="cellIs" dxfId="0" priority="32" operator="equal">
      <formula>"Mayor"</formula>
    </cfRule>
    <cfRule type="cellIs" dxfId="2" priority="33" operator="equal">
      <formula>"Moderado"</formula>
    </cfRule>
    <cfRule type="cellIs" dxfId="3" priority="34" operator="equal">
      <formula>"Menor"</formula>
    </cfRule>
    <cfRule type="cellIs" dxfId="4" priority="35" operator="equal">
      <formula>"Leve"</formula>
    </cfRule>
  </conditionalFormatting>
  <conditionalFormatting sqref="L34:L36">
    <cfRule type="cellIs" dxfId="3" priority="29" operator="equal">
      <formula>"Menor"</formula>
    </cfRule>
    <cfRule type="cellIs" dxfId="1" priority="26" operator="equal">
      <formula>"Catastrófico"</formula>
    </cfRule>
    <cfRule type="cellIs" dxfId="0" priority="27" operator="equal">
      <formula>"Mayor"</formula>
    </cfRule>
    <cfRule type="cellIs" dxfId="2" priority="28" operator="equal">
      <formula>"Moderado"</formula>
    </cfRule>
    <cfRule type="cellIs" dxfId="4" priority="30" operator="equal">
      <formula>"Leve"</formula>
    </cfRule>
  </conditionalFormatting>
  <conditionalFormatting sqref="L39:L41">
    <cfRule type="cellIs" dxfId="2" priority="23" operator="equal">
      <formula>"Moderado"</formula>
    </cfRule>
    <cfRule type="cellIs" dxfId="0" priority="22" operator="equal">
      <formula>"Mayor"</formula>
    </cfRule>
    <cfRule type="cellIs" dxfId="1" priority="21" operator="equal">
      <formula>"Catastrófico"</formula>
    </cfRule>
    <cfRule type="cellIs" dxfId="3" priority="24" operator="equal">
      <formula>"Menor"</formula>
    </cfRule>
    <cfRule type="cellIs" dxfId="4" priority="25" operator="equal">
      <formula>"Leve"</formula>
    </cfRule>
  </conditionalFormatting>
  <conditionalFormatting sqref="L44:L45">
    <cfRule type="cellIs" dxfId="3" priority="197" operator="equal">
      <formula>"Menor"</formula>
    </cfRule>
    <cfRule type="cellIs" dxfId="4" priority="198" operator="equal">
      <formula>"Leve"</formula>
    </cfRule>
    <cfRule type="cellIs" dxfId="2" priority="196" operator="equal">
      <formula>"Moderado"</formula>
    </cfRule>
    <cfRule type="cellIs" dxfId="1" priority="194" operator="equal">
      <formula>"Catastrófico"</formula>
    </cfRule>
    <cfRule type="cellIs" dxfId="0" priority="195" operator="equal">
      <formula>"Mayor"</formula>
    </cfRule>
  </conditionalFormatting>
  <conditionalFormatting sqref="N19:N21">
    <cfRule type="cellIs" dxfId="4" priority="20" operator="equal">
      <formula>"Bajo"</formula>
    </cfRule>
    <cfRule type="cellIs" dxfId="7" priority="19" operator="equal">
      <formula>"Moderado"</formula>
    </cfRule>
    <cfRule type="cellIs" dxfId="6" priority="18" operator="equal">
      <formula>"Alto"</formula>
    </cfRule>
    <cfRule type="cellIs" dxfId="5" priority="17" operator="equal">
      <formula>"Extremo"</formula>
    </cfRule>
  </conditionalFormatting>
  <conditionalFormatting sqref="N24:N26">
    <cfRule type="cellIs" dxfId="4" priority="16" operator="equal">
      <formula>"Bajo"</formula>
    </cfRule>
    <cfRule type="cellIs" dxfId="6" priority="14" operator="equal">
      <formula>"Alto"</formula>
    </cfRule>
    <cfRule type="cellIs" dxfId="7" priority="15" operator="equal">
      <formula>"Moderado"</formula>
    </cfRule>
    <cfRule type="cellIs" dxfId="5" priority="13" operator="equal">
      <formula>"Extremo"</formula>
    </cfRule>
  </conditionalFormatting>
  <conditionalFormatting sqref="N29:N31">
    <cfRule type="cellIs" dxfId="7" priority="11" operator="equal">
      <formula>"Moderado"</formula>
    </cfRule>
    <cfRule type="cellIs" dxfId="4" priority="12" operator="equal">
      <formula>"Bajo"</formula>
    </cfRule>
    <cfRule type="cellIs" dxfId="6" priority="10" operator="equal">
      <formula>"Alto"</formula>
    </cfRule>
    <cfRule type="cellIs" dxfId="5" priority="9" operator="equal">
      <formula>"Extremo"</formula>
    </cfRule>
  </conditionalFormatting>
  <conditionalFormatting sqref="N34:N36">
    <cfRule type="cellIs" dxfId="6" priority="6" operator="equal">
      <formula>"Alto"</formula>
    </cfRule>
    <cfRule type="cellIs" dxfId="5" priority="5" operator="equal">
      <formula>"Extremo"</formula>
    </cfRule>
    <cfRule type="cellIs" dxfId="4" priority="8" operator="equal">
      <formula>"Bajo"</formula>
    </cfRule>
    <cfRule type="cellIs" dxfId="7" priority="7" operator="equal">
      <formula>"Moderado"</formula>
    </cfRule>
  </conditionalFormatting>
  <conditionalFormatting sqref="N39:N41">
    <cfRule type="cellIs" dxfId="7" priority="3" operator="equal">
      <formula>"Moderado"</formula>
    </cfRule>
    <cfRule type="cellIs" dxfId="6" priority="2" operator="equal">
      <formula>"Alto"</formula>
    </cfRule>
    <cfRule type="cellIs" dxfId="5" priority="1" operator="equal">
      <formula>"Extremo"</formula>
    </cfRule>
    <cfRule type="cellIs" dxfId="4" priority="4" operator="equal">
      <formula>"Bajo"</formula>
    </cfRule>
  </conditionalFormatting>
  <conditionalFormatting sqref="N44:N45">
    <cfRule type="cellIs" dxfId="5" priority="199" operator="equal">
      <formula>"Extremo"</formula>
    </cfRule>
    <cfRule type="cellIs" dxfId="6" priority="200" operator="equal">
      <formula>"Alto"</formula>
    </cfRule>
    <cfRule type="cellIs" dxfId="7" priority="201" operator="equal">
      <formula>"Moderado"</formula>
    </cfRule>
    <cfRule type="cellIs" dxfId="4" priority="202" operator="equal">
      <formula>"Bajo"</formula>
    </cfRule>
  </conditionalFormatting>
  <conditionalFormatting sqref="Y16:Y45">
    <cfRule type="cellIs" dxfId="4" priority="93" operator="equal">
      <formula>"Muy Baja"</formula>
    </cfRule>
    <cfRule type="cellIs" dxfId="3" priority="92" operator="equal">
      <formula>"Baja"</formula>
    </cfRule>
    <cfRule type="cellIs" dxfId="2" priority="91" operator="equal">
      <formula>"Media"</formula>
    </cfRule>
    <cfRule type="cellIs" dxfId="0" priority="90" operator="equal">
      <formula>"Alta"</formula>
    </cfRule>
    <cfRule type="cellIs" dxfId="1" priority="89" operator="equal">
      <formula>"Muy Alta"</formula>
    </cfRule>
  </conditionalFormatting>
  <conditionalFormatting sqref="AA16:AA45">
    <cfRule type="cellIs" dxfId="2" priority="81" operator="equal">
      <formula>"Moderado"</formula>
    </cfRule>
    <cfRule type="cellIs" dxfId="0" priority="80" operator="equal">
      <formula>"Mayor"</formula>
    </cfRule>
    <cfRule type="cellIs" dxfId="1" priority="79" operator="equal">
      <formula>"Catastrófico"</formula>
    </cfRule>
    <cfRule type="cellIs" dxfId="4" priority="83" operator="equal">
      <formula>"Leve"</formula>
    </cfRule>
    <cfRule type="cellIs" dxfId="3" priority="82" operator="equal">
      <formula>"Menor"</formula>
    </cfRule>
  </conditionalFormatting>
  <conditionalFormatting sqref="AC16:AC45">
    <cfRule type="cellIs" dxfId="5" priority="71" operator="equal">
      <formula>"Extremo"</formula>
    </cfRule>
    <cfRule type="cellIs" dxfId="6" priority="72" operator="equal">
      <formula>"Alto"</formula>
    </cfRule>
    <cfRule type="cellIs" dxfId="7" priority="73" operator="equal">
      <formula>"Moderado"</formula>
    </cfRule>
    <cfRule type="cellIs" dxfId="4" priority="74" operator="equal">
      <formula>"Bajo"</formula>
    </cfRule>
  </conditionalFormatting>
  <conditionalFormatting sqref="AD26:AD27">
    <cfRule type="cellIs" dxfId="5" priority="359" operator="equal">
      <formula>"Extremo"</formula>
    </cfRule>
    <cfRule type="cellIs" dxfId="6" priority="360" operator="equal">
      <formula>"Alto"</formula>
    </cfRule>
    <cfRule type="cellIs" dxfId="7" priority="361" operator="equal">
      <formula>"Moderado"</formula>
    </cfRule>
    <cfRule type="cellIs" dxfId="4" priority="362" operator="equal">
      <formula>"Bajo"</formula>
    </cfRule>
  </conditionalFormatting>
  <conditionalFormatting sqref="AD31:AD32">
    <cfRule type="cellIs" dxfId="5" priority="347" operator="equal">
      <formula>"Extremo"</formula>
    </cfRule>
    <cfRule type="cellIs" dxfId="6" priority="348" operator="equal">
      <formula>"Alto"</formula>
    </cfRule>
    <cfRule type="cellIs" dxfId="7" priority="349" operator="equal">
      <formula>"Moderado"</formula>
    </cfRule>
    <cfRule type="cellIs" dxfId="4" priority="350" operator="equal">
      <formula>"Bajo"</formula>
    </cfRule>
  </conditionalFormatting>
  <conditionalFormatting sqref="AD36:AD37">
    <cfRule type="cellIs" dxfId="6" priority="356" operator="equal">
      <formula>"Alto"</formula>
    </cfRule>
    <cfRule type="cellIs" dxfId="5" priority="355" operator="equal">
      <formula>"Extremo"</formula>
    </cfRule>
    <cfRule type="cellIs" dxfId="7" priority="357" operator="equal">
      <formula>"Moderado"</formula>
    </cfRule>
    <cfRule type="cellIs" dxfId="4" priority="358" operator="equal">
      <formula>"Bajo"</formula>
    </cfRule>
  </conditionalFormatting>
  <conditionalFormatting sqref="AD41:AD42">
    <cfRule type="cellIs" dxfId="5" priority="351" operator="equal">
      <formula>"Extremo"</formula>
    </cfRule>
    <cfRule type="cellIs" dxfId="6" priority="352" operator="equal">
      <formula>"Alto"</formula>
    </cfRule>
    <cfRule type="cellIs" dxfId="7" priority="353" operator="equal">
      <formula>"Moderado"</formula>
    </cfRule>
    <cfRule type="cellIs" dxfId="4" priority="354" operator="equal">
      <formula>"Bajo"</formula>
    </cfRule>
  </conditionalFormatting>
  <dataValidations count="14">
    <dataValidation allowBlank="1" showInputMessage="1" showErrorMessage="1" promptTitle="NOMBRE DEL PROCESO/SUBPROCESO" prompt="Debe colocar el nombre del proceso/subproceso, de acuerdo al modelo de operación por procesos de la Administración Municipal de Pasto (Mapa de Procesos)" sqref="C10:N10"/>
    <dataValidation allowBlank="1" showInputMessage="1" showErrorMessage="1" promptTitle="OBJETIVO DEL PROCESO/SUBPROCESO" prompt="Debe colocar el objetivo del proceso/subproceso de acuerdo a la caracterización del proceso" sqref="C11:N11"/>
    <dataValidation allowBlank="1" showInputMessage="1" showErrorMessage="1" promptTitle="ALCANCE DEL PROCESO/SUBPROCESO" prompt="Debe colocar el alcance del proceso/subproceso, de acuerdo a la caracterización del mismo Incluyendo LIMITE y APLICABILIDAD" sqref="C12:N12"/>
    <dataValidation type="list" allowBlank="1" showErrorMessage="1" sqref="B16 B19:B21 B24:B26 B29:B31 B34:B36 B39:B41 B44:B45">
      <formula1>'Opciones Tratamiento'!$E$2:$E$4</formula1>
    </dataValidation>
    <dataValidation type="list" allowBlank="1" showErrorMessage="1" sqref="F16 F19:F21 F24:F26 F29:F31 F34:F36 F39:F41 F44:F45">
      <formula1>'Opciones Tratamiento'!$B$13:$B$19</formula1>
    </dataValidation>
    <dataValidation type="list" allowBlank="1" showErrorMessage="1" sqref="J16 J19:J21 J24:J26 J29:J31 J34:J36 J39:J41 J44:J45">
      <formula1>'Tabla Impacto'!$F$210:$F$221</formula1>
    </dataValidation>
    <dataValidation type="list" allowBlank="1" showErrorMessage="1" sqref="AE16 AE19:AE21 AE24:AE26 AE29:AE31 AE34:AE36 AE39:AE41 AE44:AE45">
      <formula1>'Opciones Tratamiento'!$B$2:$B$5</formula1>
    </dataValidation>
    <dataValidation allowBlank="1" showInputMessage="1" showErrorMessage="1" promptTitle="Descripción de controles" prompt="Debe existir un control por cada causa.&#10;&#10;Debe tener&#10;Responsable de ejecutar el control&#10;Como que ejecuta el control&#10;Tiempo que ejecuta el control&#10;Evidencias de la ejecución del control" sqref="P16:P20 P22:P44"/>
    <dataValidation type="list" allowBlank="1" showErrorMessage="1" sqref="R16:R45">
      <formula1>'Tabla Valoración controles'!$D$4:$D$6</formula1>
    </dataValidation>
    <dataValidation type="list" allowBlank="1" showErrorMessage="1" sqref="S16:S45">
      <formula1>'Tabla Valoración controles'!$D$7:$D$8</formula1>
    </dataValidation>
    <dataValidation type="list" allowBlank="1" showErrorMessage="1" sqref="U16:U45">
      <formula1>'Tabla Valoración controles'!$D$9:$D$10</formula1>
    </dataValidation>
    <dataValidation type="list" allowBlank="1" showErrorMessage="1" sqref="V16:V45">
      <formula1>'Tabla Valoración controles'!$D$11:$D$12</formula1>
    </dataValidation>
    <dataValidation type="list" allowBlank="1" showErrorMessage="1" sqref="W16:W45">
      <formula1>'Tabla Valoración controles'!$D$13:$D$14</formula1>
    </dataValidation>
    <dataValidation type="list" allowBlank="1" showErrorMessage="1" sqref="AK16:AK45">
      <formula1>'Opciones Tratamiento'!$B$9:$B$10</formula1>
    </dataValidation>
  </dataValidations>
  <pageMargins left="0.7" right="0.7" top="0.75" bottom="0.75" header="0" footer="0"/>
  <pageSetup paperSize="1" orientation="portrait"/>
  <headerFooter/>
  <ignoredErrors>
    <ignoredError sqref="N5" numberStoredAsText="1"/>
  </ignoredError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A21"/>
  <sheetViews>
    <sheetView workbookViewId="0">
      <selection activeCell="A1" sqref="A1"/>
    </sheetView>
  </sheetViews>
  <sheetFormatPr defaultColWidth="12.625" defaultRowHeight="15" customHeight="1"/>
  <cols>
    <col min="1" max="1" width="28.75" customWidth="1"/>
    <col min="2" max="26" width="10" customWidth="1"/>
  </cols>
  <sheetData>
    <row r="3" ht="12.75" customHeight="1" spans="1:1">
      <c r="A3" s="1" t="s">
        <v>63</v>
      </c>
    </row>
    <row r="4" ht="12.75" customHeight="1" spans="1:1">
      <c r="A4" s="1" t="s">
        <v>204</v>
      </c>
    </row>
    <row r="5" ht="12.75" customHeight="1" spans="1:1">
      <c r="A5" s="1" t="s">
        <v>206</v>
      </c>
    </row>
    <row r="6" ht="12.75" customHeight="1" spans="1:1">
      <c r="A6" s="1" t="s">
        <v>70</v>
      </c>
    </row>
    <row r="7" ht="12.75" customHeight="1" spans="1:1">
      <c r="A7" s="1" t="s">
        <v>64</v>
      </c>
    </row>
    <row r="8" ht="12.75" customHeight="1" spans="1:1">
      <c r="A8" s="1" t="s">
        <v>65</v>
      </c>
    </row>
    <row r="9" ht="12.75" customHeight="1" spans="1:1">
      <c r="A9" s="1" t="s">
        <v>213</v>
      </c>
    </row>
    <row r="10" ht="12.75" customHeight="1" spans="1:1">
      <c r="A10" s="1" t="s">
        <v>66</v>
      </c>
    </row>
    <row r="11" ht="12.75" customHeight="1" spans="1:1">
      <c r="A11" s="1" t="s">
        <v>216</v>
      </c>
    </row>
    <row r="12" ht="12.75" customHeight="1" spans="1:1">
      <c r="A12" s="1" t="s">
        <v>250</v>
      </c>
    </row>
    <row r="13" ht="12.75" customHeight="1" spans="1:1">
      <c r="A13" s="1" t="s">
        <v>251</v>
      </c>
    </row>
    <row r="14" ht="12.75" customHeight="1" spans="1:1">
      <c r="A14" s="1" t="s">
        <v>252</v>
      </c>
    </row>
    <row r="15" ht="12.75" customHeight="1" spans="1:1">
      <c r="A15" s="2"/>
    </row>
    <row r="16" ht="12.75" customHeight="1" spans="1:1">
      <c r="A16" s="1" t="s">
        <v>253</v>
      </c>
    </row>
    <row r="17" ht="12.75" customHeight="1" spans="1:1">
      <c r="A17" s="1" t="s">
        <v>68</v>
      </c>
    </row>
    <row r="18" ht="12.75" customHeight="1" spans="1:1">
      <c r="A18" s="1" t="s">
        <v>237</v>
      </c>
    </row>
    <row r="19" ht="12.75" customHeight="1" spans="1:1">
      <c r="A19" s="2"/>
    </row>
    <row r="20" ht="12.75" customHeight="1" spans="1:1">
      <c r="A20" s="1" t="s">
        <v>242</v>
      </c>
    </row>
    <row r="21" ht="12.75" customHeight="1" spans="1:1">
      <c r="A21" s="1" t="s">
        <v>243</v>
      </c>
    </row>
  </sheetData>
  <pageMargins left="0.7" right="0.7" top="0.75" bottom="0.75" header="0" footer="0"/>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44"/>
  <sheetViews>
    <sheetView topLeftCell="A34" workbookViewId="0">
      <selection activeCell="E36" sqref="E36:F36"/>
    </sheetView>
  </sheetViews>
  <sheetFormatPr defaultColWidth="12.625" defaultRowHeight="15" customHeight="1" outlineLevelCol="7"/>
  <cols>
    <col min="1" max="1" width="2.5" customWidth="1"/>
    <col min="2" max="3" width="21.625" customWidth="1"/>
    <col min="4" max="4" width="14" customWidth="1"/>
    <col min="5" max="5" width="21.625" customWidth="1"/>
    <col min="6" max="6" width="24.25" customWidth="1"/>
    <col min="7" max="8" width="21.625" customWidth="1"/>
    <col min="9" max="26" width="10" customWidth="1"/>
  </cols>
  <sheetData>
    <row r="2" ht="18" spans="2:8">
      <c r="B2" s="179" t="s">
        <v>79</v>
      </c>
      <c r="C2" s="180"/>
      <c r="D2" s="180"/>
      <c r="E2" s="180"/>
      <c r="F2" s="180"/>
      <c r="G2" s="180"/>
      <c r="H2" s="181"/>
    </row>
    <row r="3" ht="14.25" spans="2:8">
      <c r="B3" s="182"/>
      <c r="C3" s="183"/>
      <c r="D3" s="183"/>
      <c r="E3" s="183"/>
      <c r="F3" s="183"/>
      <c r="G3" s="183"/>
      <c r="H3" s="184"/>
    </row>
    <row r="4" ht="63" customHeight="1" spans="2:8">
      <c r="B4" s="185" t="s">
        <v>80</v>
      </c>
      <c r="H4" s="100"/>
    </row>
    <row r="5" ht="63" customHeight="1" spans="2:8">
      <c r="B5" s="186"/>
      <c r="C5" s="187"/>
      <c r="D5" s="187"/>
      <c r="E5" s="187"/>
      <c r="F5" s="187"/>
      <c r="G5" s="187"/>
      <c r="H5" s="188"/>
    </row>
    <row r="6" ht="16.5" spans="2:8">
      <c r="B6" s="311" t="s">
        <v>81</v>
      </c>
      <c r="C6" s="190"/>
      <c r="D6" s="190"/>
      <c r="E6" s="190"/>
      <c r="F6" s="190"/>
      <c r="G6" s="190"/>
      <c r="H6" s="191"/>
    </row>
    <row r="7" ht="95.25" customHeight="1" spans="2:8">
      <c r="B7" s="192" t="s">
        <v>82</v>
      </c>
      <c r="C7" s="187"/>
      <c r="D7" s="187"/>
      <c r="E7" s="187"/>
      <c r="F7" s="187"/>
      <c r="G7" s="187"/>
      <c r="H7" s="188"/>
    </row>
    <row r="8" ht="16.5" spans="2:8">
      <c r="B8" s="193"/>
      <c r="C8" s="194"/>
      <c r="D8" s="194"/>
      <c r="E8" s="194"/>
      <c r="F8" s="194"/>
      <c r="G8" s="194"/>
      <c r="H8" s="195"/>
    </row>
    <row r="9" ht="16.5" customHeight="1" spans="2:8">
      <c r="B9" s="196" t="s">
        <v>83</v>
      </c>
      <c r="H9" s="100"/>
    </row>
    <row r="10" ht="44.25" customHeight="1" spans="2:8">
      <c r="B10" s="103"/>
      <c r="H10" s="100"/>
    </row>
    <row r="11" spans="2:8">
      <c r="B11" s="197"/>
      <c r="C11" s="198"/>
      <c r="D11" s="199"/>
      <c r="E11" s="200"/>
      <c r="F11" s="200"/>
      <c r="G11" s="200"/>
      <c r="H11" s="201"/>
    </row>
    <row r="12" spans="2:8">
      <c r="B12" s="197"/>
      <c r="C12" s="202" t="s">
        <v>84</v>
      </c>
      <c r="D12" s="203"/>
      <c r="E12" s="204" t="s">
        <v>85</v>
      </c>
      <c r="F12" s="205"/>
      <c r="G12" s="198"/>
      <c r="H12" s="201"/>
    </row>
    <row r="13" ht="35.25" customHeight="1" spans="2:8">
      <c r="B13" s="197"/>
      <c r="C13" s="206" t="s">
        <v>86</v>
      </c>
      <c r="D13" s="207"/>
      <c r="E13" s="208" t="s">
        <v>87</v>
      </c>
      <c r="F13" s="209"/>
      <c r="G13" s="198"/>
      <c r="H13" s="201"/>
    </row>
    <row r="14" ht="17.25" customHeight="1" spans="2:8">
      <c r="B14" s="197"/>
      <c r="C14" s="206" t="s">
        <v>88</v>
      </c>
      <c r="D14" s="207"/>
      <c r="E14" s="208" t="s">
        <v>89</v>
      </c>
      <c r="F14" s="209"/>
      <c r="G14" s="198"/>
      <c r="H14" s="201"/>
    </row>
    <row r="15" ht="19.5" customHeight="1" spans="2:8">
      <c r="B15" s="197"/>
      <c r="C15" s="206" t="s">
        <v>90</v>
      </c>
      <c r="D15" s="207"/>
      <c r="E15" s="208" t="s">
        <v>91</v>
      </c>
      <c r="F15" s="209"/>
      <c r="G15" s="198"/>
      <c r="H15" s="201"/>
    </row>
    <row r="16" ht="69.75" customHeight="1" spans="2:8">
      <c r="B16" s="197"/>
      <c r="C16" s="206" t="s">
        <v>92</v>
      </c>
      <c r="D16" s="207"/>
      <c r="E16" s="208" t="s">
        <v>93</v>
      </c>
      <c r="F16" s="209"/>
      <c r="G16" s="198"/>
      <c r="H16" s="201"/>
    </row>
    <row r="17" ht="34.5" customHeight="1" spans="3:6">
      <c r="C17" s="210" t="s">
        <v>23</v>
      </c>
      <c r="D17" s="211"/>
      <c r="E17" s="212" t="s">
        <v>94</v>
      </c>
      <c r="F17" s="213"/>
    </row>
    <row r="18" ht="27.75" customHeight="1" spans="3:6">
      <c r="C18" s="210" t="s">
        <v>24</v>
      </c>
      <c r="D18" s="211"/>
      <c r="E18" s="212" t="s">
        <v>95</v>
      </c>
      <c r="F18" s="213"/>
    </row>
    <row r="19" ht="28.5" customHeight="1" spans="3:6">
      <c r="C19" s="210" t="s">
        <v>25</v>
      </c>
      <c r="D19" s="211"/>
      <c r="E19" s="212" t="s">
        <v>96</v>
      </c>
      <c r="F19" s="213"/>
    </row>
    <row r="20" ht="72.75" customHeight="1" spans="3:6">
      <c r="C20" s="210" t="s">
        <v>26</v>
      </c>
      <c r="D20" s="211"/>
      <c r="E20" s="212" t="s">
        <v>97</v>
      </c>
      <c r="F20" s="213"/>
    </row>
    <row r="21" ht="64.5" customHeight="1" spans="3:6">
      <c r="C21" s="210" t="s">
        <v>27</v>
      </c>
      <c r="D21" s="211"/>
      <c r="E21" s="212" t="s">
        <v>98</v>
      </c>
      <c r="F21" s="213"/>
    </row>
    <row r="22" ht="71.25" customHeight="1" spans="3:6">
      <c r="C22" s="210" t="s">
        <v>99</v>
      </c>
      <c r="D22" s="211"/>
      <c r="E22" s="212" t="s">
        <v>100</v>
      </c>
      <c r="F22" s="213"/>
    </row>
    <row r="23" ht="55.5" customHeight="1" spans="3:6">
      <c r="C23" s="210" t="s">
        <v>101</v>
      </c>
      <c r="D23" s="211"/>
      <c r="E23" s="212" t="s">
        <v>102</v>
      </c>
      <c r="F23" s="213"/>
    </row>
    <row r="24" ht="42" customHeight="1" spans="3:6">
      <c r="C24" s="210" t="s">
        <v>34</v>
      </c>
      <c r="D24" s="211"/>
      <c r="E24" s="212" t="s">
        <v>103</v>
      </c>
      <c r="F24" s="213"/>
    </row>
    <row r="25" ht="59.25" customHeight="1" spans="3:6">
      <c r="C25" s="210" t="s">
        <v>36</v>
      </c>
      <c r="D25" s="211"/>
      <c r="E25" s="212" t="s">
        <v>104</v>
      </c>
      <c r="F25" s="213"/>
    </row>
    <row r="26" ht="23.25" customHeight="1" spans="3:6">
      <c r="C26" s="210" t="s">
        <v>37</v>
      </c>
      <c r="D26" s="211"/>
      <c r="E26" s="212" t="s">
        <v>105</v>
      </c>
      <c r="F26" s="213"/>
    </row>
    <row r="27" ht="30.75" customHeight="1" spans="3:6">
      <c r="C27" s="210" t="s">
        <v>106</v>
      </c>
      <c r="D27" s="211"/>
      <c r="E27" s="212" t="s">
        <v>107</v>
      </c>
      <c r="F27" s="213"/>
    </row>
    <row r="28" ht="35.25" customHeight="1" spans="3:6">
      <c r="C28" s="210" t="s">
        <v>108</v>
      </c>
      <c r="D28" s="211"/>
      <c r="E28" s="212" t="s">
        <v>109</v>
      </c>
      <c r="F28" s="213"/>
    </row>
    <row r="29" ht="33" customHeight="1" spans="3:6">
      <c r="C29" s="210" t="s">
        <v>108</v>
      </c>
      <c r="D29" s="211"/>
      <c r="E29" s="212" t="s">
        <v>109</v>
      </c>
      <c r="F29" s="213"/>
    </row>
    <row r="30" ht="30" customHeight="1" spans="3:6">
      <c r="C30" s="210" t="s">
        <v>110</v>
      </c>
      <c r="D30" s="211"/>
      <c r="E30" s="212" t="s">
        <v>111</v>
      </c>
      <c r="F30" s="213"/>
    </row>
    <row r="31" ht="35.25" customHeight="1" spans="3:6">
      <c r="C31" s="210" t="s">
        <v>112</v>
      </c>
      <c r="D31" s="211"/>
      <c r="E31" s="212" t="s">
        <v>113</v>
      </c>
      <c r="F31" s="213"/>
    </row>
    <row r="32" ht="31.5" customHeight="1" spans="3:6">
      <c r="C32" s="210" t="s">
        <v>114</v>
      </c>
      <c r="D32" s="211"/>
      <c r="E32" s="212" t="s">
        <v>115</v>
      </c>
      <c r="F32" s="213"/>
    </row>
    <row r="33" ht="35.25" customHeight="1" spans="2:8">
      <c r="B33" s="197"/>
      <c r="C33" s="210" t="s">
        <v>116</v>
      </c>
      <c r="D33" s="211"/>
      <c r="E33" s="212" t="s">
        <v>117</v>
      </c>
      <c r="F33" s="213"/>
      <c r="G33" s="198"/>
      <c r="H33" s="201"/>
    </row>
    <row r="34" ht="59.25" customHeight="1" spans="2:8">
      <c r="B34" s="197"/>
      <c r="C34" s="210" t="s">
        <v>118</v>
      </c>
      <c r="D34" s="211"/>
      <c r="E34" s="212" t="s">
        <v>119</v>
      </c>
      <c r="F34" s="213"/>
      <c r="G34" s="198"/>
      <c r="H34" s="201"/>
    </row>
    <row r="35" ht="29.25" customHeight="1" spans="2:8">
      <c r="B35" s="197"/>
      <c r="C35" s="210" t="s">
        <v>44</v>
      </c>
      <c r="D35" s="211"/>
      <c r="E35" s="212" t="s">
        <v>120</v>
      </c>
      <c r="F35" s="213"/>
      <c r="G35" s="198"/>
      <c r="H35" s="201"/>
    </row>
    <row r="36" ht="82.5" customHeight="1" spans="2:8">
      <c r="B36" s="197"/>
      <c r="C36" s="210" t="s">
        <v>121</v>
      </c>
      <c r="D36" s="211"/>
      <c r="E36" s="212" t="s">
        <v>122</v>
      </c>
      <c r="F36" s="213"/>
      <c r="G36" s="198"/>
      <c r="H36" s="201"/>
    </row>
    <row r="37" ht="46.5" customHeight="1" spans="2:8">
      <c r="B37" s="197"/>
      <c r="C37" s="210" t="s">
        <v>49</v>
      </c>
      <c r="D37" s="211"/>
      <c r="E37" s="212" t="s">
        <v>123</v>
      </c>
      <c r="F37" s="213"/>
      <c r="G37" s="198"/>
      <c r="H37" s="201"/>
    </row>
    <row r="38" ht="6.75" customHeight="1" spans="2:8">
      <c r="B38" s="197"/>
      <c r="C38" s="214"/>
      <c r="D38" s="215"/>
      <c r="E38" s="216"/>
      <c r="F38" s="217"/>
      <c r="G38" s="198"/>
      <c r="H38" s="201"/>
    </row>
    <row r="39" ht="15.75" customHeight="1" spans="2:8">
      <c r="B39" s="197"/>
      <c r="C39" s="218"/>
      <c r="D39" s="218"/>
      <c r="E39" s="219"/>
      <c r="F39" s="219"/>
      <c r="G39" s="198"/>
      <c r="H39" s="201"/>
    </row>
    <row r="40" ht="21" customHeight="1" spans="2:8">
      <c r="B40" s="220" t="s">
        <v>124</v>
      </c>
      <c r="C40" s="63"/>
      <c r="D40" s="63"/>
      <c r="E40" s="63"/>
      <c r="F40" s="63"/>
      <c r="G40" s="63"/>
      <c r="H40" s="100"/>
    </row>
    <row r="41" ht="20.25" customHeight="1" spans="2:8">
      <c r="B41" s="220" t="s">
        <v>125</v>
      </c>
      <c r="C41" s="63"/>
      <c r="D41" s="63"/>
      <c r="E41" s="63"/>
      <c r="F41" s="63"/>
      <c r="G41" s="63"/>
      <c r="H41" s="100"/>
    </row>
    <row r="42" ht="20.25" customHeight="1" spans="2:8">
      <c r="B42" s="220" t="s">
        <v>126</v>
      </c>
      <c r="C42" s="63"/>
      <c r="D42" s="63"/>
      <c r="E42" s="63"/>
      <c r="F42" s="63"/>
      <c r="G42" s="63"/>
      <c r="H42" s="100"/>
    </row>
    <row r="43" ht="20.25" customHeight="1" spans="2:8">
      <c r="B43" s="220" t="s">
        <v>127</v>
      </c>
      <c r="C43" s="63"/>
      <c r="D43" s="63"/>
      <c r="E43" s="63"/>
      <c r="F43" s="63"/>
      <c r="G43" s="63"/>
      <c r="H43" s="100"/>
    </row>
    <row r="44" ht="15.75" customHeight="1" spans="2:8">
      <c r="B44" s="220" t="s">
        <v>128</v>
      </c>
      <c r="C44" s="63"/>
      <c r="D44" s="63"/>
      <c r="E44" s="63"/>
      <c r="F44" s="63"/>
      <c r="G44" s="63"/>
      <c r="H44" s="100"/>
    </row>
  </sheetData>
  <mergeCells count="64">
    <mergeCell ref="B2:H2"/>
    <mergeCell ref="B6:H6"/>
    <mergeCell ref="B7:H7"/>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B40:H40"/>
    <mergeCell ref="B41:H41"/>
    <mergeCell ref="B42:H42"/>
    <mergeCell ref="B43:H43"/>
    <mergeCell ref="B44:H44"/>
    <mergeCell ref="B4:H5"/>
    <mergeCell ref="B9:H10"/>
  </mergeCells>
  <pageMargins left="0.7" right="0.7" top="0.75" bottom="0.75" header="0" footer="0"/>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AT51"/>
  <sheetViews>
    <sheetView zoomScale="40" zoomScaleNormal="40" workbookViewId="0">
      <selection activeCell="V22" sqref="V22:W23"/>
    </sheetView>
  </sheetViews>
  <sheetFormatPr defaultColWidth="12.625" defaultRowHeight="15" customHeight="1"/>
  <cols>
    <col min="1" max="1" width="9.375" customWidth="1"/>
    <col min="2" max="39" width="5" customWidth="1"/>
    <col min="40" max="40" width="9.375" customWidth="1"/>
    <col min="41" max="46" width="5" customWidth="1"/>
    <col min="47" max="61" width="9.375" customWidth="1"/>
  </cols>
  <sheetData>
    <row r="2" ht="18" customHeight="1" spans="2:46">
      <c r="B2" s="157" t="s">
        <v>129</v>
      </c>
      <c r="J2" s="106" t="s">
        <v>23</v>
      </c>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4"/>
      <c r="AO2" s="64"/>
      <c r="AP2" s="64"/>
      <c r="AQ2" s="64"/>
      <c r="AR2" s="64"/>
      <c r="AS2" s="64"/>
      <c r="AT2" s="64"/>
    </row>
    <row r="3" ht="18.75" customHeight="1" spans="10:46">
      <c r="J3" s="63"/>
      <c r="AM3" s="63"/>
      <c r="AN3" s="64"/>
      <c r="AO3" s="64"/>
      <c r="AP3" s="64"/>
      <c r="AQ3" s="64"/>
      <c r="AR3" s="64"/>
      <c r="AS3" s="64"/>
      <c r="AT3" s="64"/>
    </row>
    <row r="4" customHeight="1" spans="10:46">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4"/>
      <c r="AO4" s="64"/>
      <c r="AP4" s="64"/>
      <c r="AQ4" s="64"/>
      <c r="AR4" s="64"/>
      <c r="AS4" s="64"/>
      <c r="AT4" s="64"/>
    </row>
    <row r="5" ht="15.75" spans="2:46">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row>
    <row r="6" customHeight="1" spans="2:46">
      <c r="B6" s="99" t="s">
        <v>130</v>
      </c>
      <c r="C6" s="63"/>
      <c r="D6" s="100"/>
      <c r="E6" s="158" t="s">
        <v>131</v>
      </c>
      <c r="F6" s="102"/>
      <c r="G6" s="102"/>
      <c r="H6" s="102"/>
      <c r="I6" s="107"/>
      <c r="J6" s="159" t="str">
        <f>IF(AND('Mapa final'!$H$16="Muy Alta",'Mapa final'!$L$16="Leve"),CONCATENATE("R",'Mapa final'!$A$16),"")</f>
        <v/>
      </c>
      <c r="K6" s="102"/>
      <c r="L6" s="160" t="str">
        <f>IF(AND('Mapa final'!$H$21="Muy Alta",'Mapa final'!$L$21="Leve"),CONCATENATE("R",'Mapa final'!$A$21),"")</f>
        <v/>
      </c>
      <c r="M6" s="102"/>
      <c r="N6" s="160" t="str">
        <f>IF(AND('Mapa final'!$H$26="Muy Alta",'Mapa final'!$L$26="Leve"),CONCATENATE("R",'Mapa final'!$A$26),"")</f>
        <v/>
      </c>
      <c r="O6" s="107"/>
      <c r="P6" s="159" t="str">
        <f>IF(AND('Mapa final'!$H$16="Muy Alta",'Mapa final'!$L$16="Menor"),CONCATENATE("R",'Mapa final'!$A$16),"")</f>
        <v/>
      </c>
      <c r="Q6" s="102"/>
      <c r="R6" s="160" t="str">
        <f>IF(AND('Mapa final'!$H$21="Muy Alta",'Mapa final'!$L$21="Menor"),CONCATENATE("R",'Mapa final'!$A$21),"")</f>
        <v/>
      </c>
      <c r="S6" s="102"/>
      <c r="T6" s="160" t="str">
        <f>IF(AND('Mapa final'!$H$26="Muy Alta",'Mapa final'!$L$26="Menor"),CONCATENATE("R",'Mapa final'!$A$26),"")</f>
        <v/>
      </c>
      <c r="U6" s="107"/>
      <c r="V6" s="159" t="str">
        <f>IF(AND('Mapa final'!$H$16="Muy Alta",'Mapa final'!$L$16="Moderado"),CONCATENATE("R",'Mapa final'!$A$16),"")</f>
        <v/>
      </c>
      <c r="W6" s="102"/>
      <c r="X6" s="160" t="str">
        <f>IF(AND('Mapa final'!$H$21="Muy Alta",'Mapa final'!$L$21="Moderado"),CONCATENATE("R",'Mapa final'!$A$21),"")</f>
        <v/>
      </c>
      <c r="Y6" s="102"/>
      <c r="Z6" s="160" t="str">
        <f>IF(AND('Mapa final'!$H$26="Muy Alta",'Mapa final'!$L$26="Moderado"),CONCATENATE("R",'Mapa final'!$A$26),"")</f>
        <v/>
      </c>
      <c r="AA6" s="107"/>
      <c r="AB6" s="159" t="str">
        <f>IF(AND('Mapa final'!$H$16="Muy Alta",'Mapa final'!$L$16="Mayor"),CONCATENATE("R",'Mapa final'!$A$16),"")</f>
        <v/>
      </c>
      <c r="AC6" s="102"/>
      <c r="AD6" s="160" t="str">
        <f>IF(AND('Mapa final'!$H$21="Muy Alta",'Mapa final'!$L$21="Mayor"),CONCATENATE("R",'Mapa final'!$A$21),"")</f>
        <v/>
      </c>
      <c r="AE6" s="102"/>
      <c r="AF6" s="160" t="str">
        <f>IF(AND('Mapa final'!$H$26="Muy Alta",'Mapa final'!$L$26="Mayor"),CONCATENATE("R",'Mapa final'!$A$26),"")</f>
        <v/>
      </c>
      <c r="AG6" s="107"/>
      <c r="AH6" s="171" t="str">
        <f>IF(AND('Mapa final'!$H$16="Muy Alta",'Mapa final'!$L$16="Catastrófico"),CONCATENATE("R",'Mapa final'!$A$16),"")</f>
        <v/>
      </c>
      <c r="AI6" s="102"/>
      <c r="AJ6" s="172" t="str">
        <f>IF(AND('Mapa final'!$H$21="Muy Alta",'Mapa final'!$L$21="Catastrófico"),CONCATENATE("R",'Mapa final'!$A$21),"")</f>
        <v/>
      </c>
      <c r="AK6" s="102"/>
      <c r="AL6" s="172" t="str">
        <f>IF(AND('Mapa final'!$H$26="Muy Alta",'Mapa final'!$L$26="Catastrófico"),CONCATENATE("R",'Mapa final'!$A$26),"")</f>
        <v/>
      </c>
      <c r="AM6" s="107"/>
      <c r="AO6" s="175" t="s">
        <v>132</v>
      </c>
      <c r="AP6" s="147"/>
      <c r="AQ6" s="147"/>
      <c r="AR6" s="147"/>
      <c r="AS6" s="147"/>
      <c r="AT6" s="148"/>
    </row>
    <row r="7" customHeight="1" spans="2:46">
      <c r="B7" s="63"/>
      <c r="D7" s="100"/>
      <c r="E7" s="103"/>
      <c r="I7" s="100"/>
      <c r="J7" s="103"/>
      <c r="K7" s="63"/>
      <c r="L7" s="63"/>
      <c r="M7" s="63"/>
      <c r="N7" s="63"/>
      <c r="O7" s="100"/>
      <c r="P7" s="103"/>
      <c r="Q7" s="63"/>
      <c r="R7" s="63"/>
      <c r="S7" s="63"/>
      <c r="T7" s="63"/>
      <c r="U7" s="100"/>
      <c r="V7" s="103"/>
      <c r="W7" s="63"/>
      <c r="X7" s="63"/>
      <c r="Y7" s="63"/>
      <c r="Z7" s="63"/>
      <c r="AA7" s="100"/>
      <c r="AB7" s="103"/>
      <c r="AC7" s="63"/>
      <c r="AD7" s="63"/>
      <c r="AE7" s="63"/>
      <c r="AF7" s="63"/>
      <c r="AG7" s="100"/>
      <c r="AH7" s="103"/>
      <c r="AI7" s="63"/>
      <c r="AJ7" s="63"/>
      <c r="AK7" s="63"/>
      <c r="AL7" s="63"/>
      <c r="AM7" s="100"/>
      <c r="AN7" s="64"/>
      <c r="AO7" s="149"/>
      <c r="AT7" s="150"/>
    </row>
    <row r="8" customHeight="1" spans="2:46">
      <c r="B8" s="63"/>
      <c r="D8" s="100"/>
      <c r="E8" s="103"/>
      <c r="I8" s="100"/>
      <c r="J8" s="161" t="str">
        <f>IF(AND('Mapa final'!$H$31="Muy Alta",'Mapa final'!$L$31="Leve"),CONCATENATE("R",'Mapa final'!$A$31),"")</f>
        <v/>
      </c>
      <c r="K8" s="63"/>
      <c r="L8" s="162" t="str">
        <f>IF(AND('Mapa final'!$H$36="Muy Alta",'Mapa final'!$L$36="Leve"),CONCATENATE("R",'Mapa final'!$A$36),"")</f>
        <v/>
      </c>
      <c r="M8" s="63"/>
      <c r="N8" s="162" t="str">
        <f>IF(AND('Mapa final'!$H$41="Muy Alta",'Mapa final'!$L$41="Leve"),CONCATENATE("R",'Mapa final'!$A$41),"")</f>
        <v/>
      </c>
      <c r="O8" s="100"/>
      <c r="P8" s="161" t="str">
        <f>IF(AND('Mapa final'!$H$31="Muy Alta",'Mapa final'!$L$31="Menor"),CONCATENATE("R",'Mapa final'!$A$31),"")</f>
        <v/>
      </c>
      <c r="Q8" s="63"/>
      <c r="R8" s="162" t="str">
        <f>IF(AND('Mapa final'!$H$36="Muy Alta",'Mapa final'!$L$36="Menor"),CONCATENATE("R",'Mapa final'!$A$36),"")</f>
        <v/>
      </c>
      <c r="S8" s="63"/>
      <c r="T8" s="162" t="str">
        <f>IF(AND('Mapa final'!$H$41="Muy Alta",'Mapa final'!$L$41="Menor"),CONCATENATE("R",'Mapa final'!$A$41),"")</f>
        <v/>
      </c>
      <c r="U8" s="100"/>
      <c r="V8" s="161" t="str">
        <f>IF(AND('Mapa final'!$H$31="Muy Alta",'Mapa final'!$L$31="Moderado"),CONCATENATE("R",'Mapa final'!$A$31),"")</f>
        <v/>
      </c>
      <c r="W8" s="63"/>
      <c r="X8" s="162" t="str">
        <f>IF(AND('Mapa final'!$H$36="Muy Alta",'Mapa final'!$L$36="Moderado"),CONCATENATE("R",'Mapa final'!$A$36),"")</f>
        <v/>
      </c>
      <c r="Y8" s="63"/>
      <c r="Z8" s="162" t="str">
        <f>IF(AND('Mapa final'!$H$41="Muy Alta",'Mapa final'!$L$41="Moderado"),CONCATENATE("R",'Mapa final'!$A$41),"")</f>
        <v/>
      </c>
      <c r="AA8" s="100"/>
      <c r="AB8" s="161" t="str">
        <f>IF(AND('Mapa final'!$H$31="Muy Alta",'Mapa final'!$L$31="Mayor"),CONCATENATE("R",'Mapa final'!$A$31),"")</f>
        <v/>
      </c>
      <c r="AC8" s="63"/>
      <c r="AD8" s="162" t="str">
        <f>IF(AND('Mapa final'!$H$36="Muy Alta",'Mapa final'!$L$36="Mayor"),CONCATENATE("R",'Mapa final'!$A$36),"")</f>
        <v/>
      </c>
      <c r="AE8" s="63"/>
      <c r="AF8" s="162" t="str">
        <f>IF(AND('Mapa final'!$H$41="Muy Alta",'Mapa final'!$L$41="Mayor"),CONCATENATE("R",'Mapa final'!$A$41),"")</f>
        <v/>
      </c>
      <c r="AG8" s="100"/>
      <c r="AH8" s="173" t="str">
        <f>IF(AND('Mapa final'!$H$31="Muy Alta",'Mapa final'!$L$31="Catastrófico"),CONCATENATE("R",'Mapa final'!$A$31),"")</f>
        <v/>
      </c>
      <c r="AI8" s="63"/>
      <c r="AJ8" s="174" t="str">
        <f>IF(AND('Mapa final'!$H$36="Muy Alta",'Mapa final'!$L$36="Catastrófico"),CONCATENATE("R",'Mapa final'!$A$36),"")</f>
        <v/>
      </c>
      <c r="AK8" s="63"/>
      <c r="AL8" s="174" t="str">
        <f>IF(AND('Mapa final'!$H$41="Muy Alta",'Mapa final'!$L$41="Catastrófico"),CONCATENATE("R",'Mapa final'!$A$41),"")</f>
        <v/>
      </c>
      <c r="AM8" s="100"/>
      <c r="AN8" s="64"/>
      <c r="AO8" s="149"/>
      <c r="AT8" s="150"/>
    </row>
    <row r="9" customHeight="1" spans="2:46">
      <c r="B9" s="63"/>
      <c r="D9" s="100"/>
      <c r="E9" s="103"/>
      <c r="I9" s="100"/>
      <c r="J9" s="103"/>
      <c r="K9" s="63"/>
      <c r="L9" s="63"/>
      <c r="M9" s="63"/>
      <c r="N9" s="63"/>
      <c r="O9" s="100"/>
      <c r="P9" s="103"/>
      <c r="Q9" s="63"/>
      <c r="R9" s="63"/>
      <c r="S9" s="63"/>
      <c r="T9" s="63"/>
      <c r="U9" s="100"/>
      <c r="V9" s="103"/>
      <c r="W9" s="63"/>
      <c r="X9" s="63"/>
      <c r="Y9" s="63"/>
      <c r="Z9" s="63"/>
      <c r="AA9" s="100"/>
      <c r="AB9" s="103"/>
      <c r="AC9" s="63"/>
      <c r="AD9" s="63"/>
      <c r="AE9" s="63"/>
      <c r="AF9" s="63"/>
      <c r="AG9" s="100"/>
      <c r="AH9" s="103"/>
      <c r="AI9" s="63"/>
      <c r="AJ9" s="63"/>
      <c r="AK9" s="63"/>
      <c r="AL9" s="63"/>
      <c r="AM9" s="100"/>
      <c r="AN9" s="64"/>
      <c r="AO9" s="149"/>
      <c r="AT9" s="150"/>
    </row>
    <row r="10" customHeight="1" spans="2:46">
      <c r="B10" s="63"/>
      <c r="D10" s="100"/>
      <c r="E10" s="103"/>
      <c r="I10" s="100"/>
      <c r="J10" s="161" t="e">
        <f>IF(AND('Mapa final'!#REF!="Muy Alta",'Mapa final'!#REF!="Leve"),CONCATENATE("R",'Mapa final'!#REF!),"")</f>
        <v>#REF!</v>
      </c>
      <c r="K10" s="63"/>
      <c r="L10" s="162" t="e">
        <f>IF(AND('Mapa final'!#REF!="Muy Alta",'Mapa final'!#REF!="Leve"),CONCATENATE("R",'Mapa final'!#REF!),"")</f>
        <v>#REF!</v>
      </c>
      <c r="M10" s="63"/>
      <c r="N10" s="162" t="e">
        <f>IF(AND('Mapa final'!#REF!="Muy Alta",'Mapa final'!#REF!="Leve"),CONCATENATE("R",'Mapa final'!#REF!),"")</f>
        <v>#REF!</v>
      </c>
      <c r="O10" s="100"/>
      <c r="P10" s="161" t="e">
        <f>IF(AND('Mapa final'!#REF!="Muy Alta",'Mapa final'!#REF!="Menor"),CONCATENATE("R",'Mapa final'!#REF!),"")</f>
        <v>#REF!</v>
      </c>
      <c r="Q10" s="63"/>
      <c r="R10" s="162" t="e">
        <f>IF(AND('Mapa final'!#REF!="Muy Alta",'Mapa final'!#REF!="Menor"),CONCATENATE("R",'Mapa final'!#REF!),"")</f>
        <v>#REF!</v>
      </c>
      <c r="S10" s="63"/>
      <c r="T10" s="162" t="e">
        <f>IF(AND('Mapa final'!#REF!="Muy Alta",'Mapa final'!#REF!="Menor"),CONCATENATE("R",'Mapa final'!#REF!),"")</f>
        <v>#REF!</v>
      </c>
      <c r="U10" s="100"/>
      <c r="V10" s="161" t="e">
        <f>IF(AND('Mapa final'!#REF!="Muy Alta",'Mapa final'!#REF!="Moderado"),CONCATENATE("R",'Mapa final'!#REF!),"")</f>
        <v>#REF!</v>
      </c>
      <c r="W10" s="63"/>
      <c r="X10" s="162" t="e">
        <f>IF(AND('Mapa final'!#REF!="Muy Alta",'Mapa final'!#REF!="Moderado"),CONCATENATE("R",'Mapa final'!#REF!),"")</f>
        <v>#REF!</v>
      </c>
      <c r="Y10" s="63"/>
      <c r="Z10" s="162" t="e">
        <f>IF(AND('Mapa final'!#REF!="Muy Alta",'Mapa final'!#REF!="Moderado"),CONCATENATE("R",'Mapa final'!#REF!),"")</f>
        <v>#REF!</v>
      </c>
      <c r="AA10" s="100"/>
      <c r="AB10" s="161" t="e">
        <f>IF(AND('Mapa final'!#REF!="Muy Alta",'Mapa final'!#REF!="Mayor"),CONCATENATE("R",'Mapa final'!#REF!),"")</f>
        <v>#REF!</v>
      </c>
      <c r="AC10" s="63"/>
      <c r="AD10" s="162" t="e">
        <f>IF(AND('Mapa final'!#REF!="Muy Alta",'Mapa final'!#REF!="Mayor"),CONCATENATE("R",'Mapa final'!#REF!),"")</f>
        <v>#REF!</v>
      </c>
      <c r="AE10" s="63"/>
      <c r="AF10" s="162" t="e">
        <f>IF(AND('Mapa final'!#REF!="Muy Alta",'Mapa final'!#REF!="Mayor"),CONCATENATE("R",'Mapa final'!#REF!),"")</f>
        <v>#REF!</v>
      </c>
      <c r="AG10" s="100"/>
      <c r="AH10" s="173" t="e">
        <f>IF(AND('Mapa final'!#REF!="Muy Alta",'Mapa final'!#REF!="Catastrófico"),CONCATENATE("R",'Mapa final'!#REF!),"")</f>
        <v>#REF!</v>
      </c>
      <c r="AI10" s="63"/>
      <c r="AJ10" s="174" t="e">
        <f>IF(AND('Mapa final'!#REF!="Muy Alta",'Mapa final'!#REF!="Catastrófico"),CONCATENATE("R",'Mapa final'!#REF!),"")</f>
        <v>#REF!</v>
      </c>
      <c r="AK10" s="63"/>
      <c r="AL10" s="174" t="e">
        <f>IF(AND('Mapa final'!#REF!="Muy Alta",'Mapa final'!#REF!="Catastrófico"),CONCATENATE("R",'Mapa final'!#REF!),"")</f>
        <v>#REF!</v>
      </c>
      <c r="AM10" s="100"/>
      <c r="AN10" s="64"/>
      <c r="AO10" s="149"/>
      <c r="AT10" s="150"/>
    </row>
    <row r="11" customHeight="1" spans="2:46">
      <c r="B11" s="63"/>
      <c r="D11" s="100"/>
      <c r="E11" s="103"/>
      <c r="I11" s="100"/>
      <c r="J11" s="103"/>
      <c r="K11" s="63"/>
      <c r="L11" s="63"/>
      <c r="M11" s="63"/>
      <c r="N11" s="63"/>
      <c r="O11" s="100"/>
      <c r="P11" s="103"/>
      <c r="Q11" s="63"/>
      <c r="R11" s="63"/>
      <c r="S11" s="63"/>
      <c r="T11" s="63"/>
      <c r="U11" s="100"/>
      <c r="V11" s="103"/>
      <c r="W11" s="63"/>
      <c r="X11" s="63"/>
      <c r="Y11" s="63"/>
      <c r="Z11" s="63"/>
      <c r="AA11" s="100"/>
      <c r="AB11" s="103"/>
      <c r="AC11" s="63"/>
      <c r="AD11" s="63"/>
      <c r="AE11" s="63"/>
      <c r="AF11" s="63"/>
      <c r="AG11" s="100"/>
      <c r="AH11" s="103"/>
      <c r="AI11" s="63"/>
      <c r="AJ11" s="63"/>
      <c r="AK11" s="63"/>
      <c r="AL11" s="63"/>
      <c r="AM11" s="100"/>
      <c r="AN11" s="64"/>
      <c r="AO11" s="149"/>
      <c r="AT11" s="150"/>
    </row>
    <row r="12" customHeight="1" spans="2:46">
      <c r="B12" s="63"/>
      <c r="D12" s="100"/>
      <c r="E12" s="103"/>
      <c r="I12" s="100"/>
      <c r="J12" s="161" t="e">
        <f>IF(AND('Mapa final'!#REF!="Muy Alta",'Mapa final'!#REF!="Leve"),CONCATENATE("R",'Mapa final'!#REF!),"")</f>
        <v>#REF!</v>
      </c>
      <c r="K12" s="63"/>
      <c r="L12" s="162" t="str">
        <f>IF(AND('Mapa final'!$H$46="Muy Alta",'Mapa final'!$L$46="Leve"),CONCATENATE("R",'Mapa final'!$A$46),"")</f>
        <v/>
      </c>
      <c r="M12" s="63"/>
      <c r="N12" s="162" t="str">
        <f>IF(AND('Mapa final'!$H$52="Muy Alta",'Mapa final'!$L$52="Leve"),CONCATENATE("R",'Mapa final'!$A$52),"")</f>
        <v/>
      </c>
      <c r="O12" s="100"/>
      <c r="P12" s="161" t="e">
        <f>IF(AND('Mapa final'!#REF!="Muy Alta",'Mapa final'!#REF!="Menor"),CONCATENATE("R",'Mapa final'!#REF!),"")</f>
        <v>#REF!</v>
      </c>
      <c r="Q12" s="63"/>
      <c r="R12" s="162" t="str">
        <f>IF(AND('Mapa final'!$H$46="Muy Alta",'Mapa final'!$L$46="Menor"),CONCATENATE("R",'Mapa final'!$A$46),"")</f>
        <v/>
      </c>
      <c r="S12" s="63"/>
      <c r="T12" s="162" t="str">
        <f>IF(AND('Mapa final'!$H$52="Muy Alta",'Mapa final'!$L$52="Menor"),CONCATENATE("R",'Mapa final'!$A$52),"")</f>
        <v/>
      </c>
      <c r="U12" s="100"/>
      <c r="V12" s="161" t="e">
        <f>IF(AND('Mapa final'!#REF!="Muy Alta",'Mapa final'!#REF!="Moderado"),CONCATENATE("R",'Mapa final'!#REF!),"")</f>
        <v>#REF!</v>
      </c>
      <c r="W12" s="63"/>
      <c r="X12" s="162" t="str">
        <f>IF(AND('Mapa final'!$H$46="Muy Alta",'Mapa final'!$L$46="Moderado"),CONCATENATE("R",'Mapa final'!$A$46),"")</f>
        <v/>
      </c>
      <c r="Y12" s="63"/>
      <c r="Z12" s="162" t="str">
        <f>IF(AND('Mapa final'!$H$52="Muy Alta",'Mapa final'!$L$52="Moderado"),CONCATENATE("R",'Mapa final'!$A$52),"")</f>
        <v/>
      </c>
      <c r="AA12" s="100"/>
      <c r="AB12" s="161" t="e">
        <f>IF(AND('Mapa final'!#REF!="Muy Alta",'Mapa final'!#REF!="Mayor"),CONCATENATE("R",'Mapa final'!#REF!),"")</f>
        <v>#REF!</v>
      </c>
      <c r="AC12" s="63"/>
      <c r="AD12" s="162" t="str">
        <f>IF(AND('Mapa final'!$H$46="Muy Alta",'Mapa final'!$L$46="Mayor"),CONCATENATE("R",'Mapa final'!$A$46),"")</f>
        <v/>
      </c>
      <c r="AE12" s="63"/>
      <c r="AF12" s="162" t="str">
        <f>IF(AND('Mapa final'!$H$52="Muy Alta",'Mapa final'!$L$52="Mayor"),CONCATENATE("R",'Mapa final'!$A$52),"")</f>
        <v/>
      </c>
      <c r="AG12" s="100"/>
      <c r="AH12" s="173" t="e">
        <f>IF(AND('Mapa final'!#REF!="Muy Alta",'Mapa final'!#REF!="Catastrófico"),CONCATENATE("R",'Mapa final'!#REF!),"")</f>
        <v>#REF!</v>
      </c>
      <c r="AI12" s="63"/>
      <c r="AJ12" s="174" t="str">
        <f>IF(AND('Mapa final'!$H$46="Muy Alta",'Mapa final'!$L$46="Catastrófico"),CONCATENATE("R",'Mapa final'!$A$46),"")</f>
        <v/>
      </c>
      <c r="AK12" s="63"/>
      <c r="AL12" s="174" t="str">
        <f>IF(AND('Mapa final'!$H$52="Muy Alta",'Mapa final'!$L$52="Catastrófico"),CONCATENATE("R",'Mapa final'!$A$52),"")</f>
        <v/>
      </c>
      <c r="AM12" s="100"/>
      <c r="AN12" s="64"/>
      <c r="AO12" s="149"/>
      <c r="AT12" s="150"/>
    </row>
    <row r="13" ht="15.75" customHeight="1" spans="2:46">
      <c r="B13" s="63"/>
      <c r="D13" s="100"/>
      <c r="E13" s="104"/>
      <c r="F13" s="105"/>
      <c r="G13" s="105"/>
      <c r="H13" s="105"/>
      <c r="I13" s="114"/>
      <c r="J13" s="103"/>
      <c r="K13" s="63"/>
      <c r="L13" s="63"/>
      <c r="M13" s="63"/>
      <c r="N13" s="63"/>
      <c r="O13" s="100"/>
      <c r="P13" s="103"/>
      <c r="Q13" s="63"/>
      <c r="R13" s="63"/>
      <c r="S13" s="63"/>
      <c r="T13" s="63"/>
      <c r="U13" s="100"/>
      <c r="V13" s="103"/>
      <c r="W13" s="63"/>
      <c r="X13" s="63"/>
      <c r="Y13" s="63"/>
      <c r="Z13" s="63"/>
      <c r="AA13" s="100"/>
      <c r="AB13" s="103"/>
      <c r="AC13" s="63"/>
      <c r="AD13" s="63"/>
      <c r="AE13" s="63"/>
      <c r="AF13" s="63"/>
      <c r="AG13" s="100"/>
      <c r="AH13" s="104"/>
      <c r="AI13" s="105"/>
      <c r="AJ13" s="105"/>
      <c r="AK13" s="105"/>
      <c r="AL13" s="105"/>
      <c r="AM13" s="114"/>
      <c r="AN13" s="64"/>
      <c r="AO13" s="151"/>
      <c r="AP13" s="152"/>
      <c r="AQ13" s="152"/>
      <c r="AR13" s="152"/>
      <c r="AS13" s="152"/>
      <c r="AT13" s="153"/>
    </row>
    <row r="14" customHeight="1" spans="2:46">
      <c r="B14" s="63"/>
      <c r="D14" s="100"/>
      <c r="E14" s="158" t="s">
        <v>133</v>
      </c>
      <c r="F14" s="102"/>
      <c r="G14" s="102"/>
      <c r="H14" s="102"/>
      <c r="I14" s="102"/>
      <c r="J14" s="163" t="str">
        <f>IF(AND('Mapa final'!$H$16="Alta",'Mapa final'!$L$16="Leve"),CONCATENATE("R",'Mapa final'!$A$16),"")</f>
        <v/>
      </c>
      <c r="K14" s="102"/>
      <c r="L14" s="164" t="str">
        <f>IF(AND('Mapa final'!$H$21="Alta",'Mapa final'!$L$21="Leve"),CONCATENATE("R",'Mapa final'!$A$21),"")</f>
        <v/>
      </c>
      <c r="M14" s="102"/>
      <c r="N14" s="164" t="str">
        <f>IF(AND('Mapa final'!$H$26="Alta",'Mapa final'!$L$26="Leve"),CONCATENATE("R",'Mapa final'!$A$26),"")</f>
        <v/>
      </c>
      <c r="O14" s="107"/>
      <c r="P14" s="163" t="str">
        <f>IF(AND('Mapa final'!$H$16="Alta",'Mapa final'!$L$16="Menor"),CONCATENATE("R",'Mapa final'!$A$16),"")</f>
        <v/>
      </c>
      <c r="Q14" s="102"/>
      <c r="R14" s="164" t="str">
        <f>IF(AND('Mapa final'!$H$21="Alta",'Mapa final'!$L$21="Menor"),CONCATENATE("R",'Mapa final'!$A$21),"")</f>
        <v/>
      </c>
      <c r="S14" s="102"/>
      <c r="T14" s="164" t="str">
        <f>IF(AND('Mapa final'!$H$26="Alta",'Mapa final'!$L$26="Menor"),CONCATENATE("R",'Mapa final'!$A$26),"")</f>
        <v/>
      </c>
      <c r="U14" s="107"/>
      <c r="V14" s="159" t="str">
        <f>IF(AND('Mapa final'!$H$16="Alta",'Mapa final'!$L$16="Moderado"),CONCATENATE("R",'Mapa final'!$A$16),"")</f>
        <v/>
      </c>
      <c r="W14" s="102"/>
      <c r="X14" s="160" t="str">
        <f>IF(AND('Mapa final'!$H$21="Alta",'Mapa final'!$L$21="Moderado"),CONCATENATE("R",'Mapa final'!$A$21),"")</f>
        <v/>
      </c>
      <c r="Y14" s="102"/>
      <c r="Z14" s="160" t="str">
        <f>IF(AND('Mapa final'!$H$26="Alta",'Mapa final'!$L$26="Moderado"),CONCATENATE("R",'Mapa final'!$A$26),"")</f>
        <v/>
      </c>
      <c r="AA14" s="107"/>
      <c r="AB14" s="159" t="str">
        <f>IF(AND('Mapa final'!$H$16="Alta",'Mapa final'!$L$16="Mayor"),CONCATENATE("R",'Mapa final'!$A$16),"")</f>
        <v/>
      </c>
      <c r="AC14" s="102"/>
      <c r="AD14" s="160" t="str">
        <f>IF(AND('Mapa final'!$H$21="Alta",'Mapa final'!$L$21="Mayor"),CONCATENATE("R",'Mapa final'!$A$21),"")</f>
        <v/>
      </c>
      <c r="AE14" s="102"/>
      <c r="AF14" s="160" t="str">
        <f>IF(AND('Mapa final'!$H$26="Alta",'Mapa final'!$L$26="Mayor"),CONCATENATE("R",'Mapa final'!$A$26),"")</f>
        <v/>
      </c>
      <c r="AG14" s="107"/>
      <c r="AH14" s="171" t="str">
        <f>IF(AND('Mapa final'!$H$16="Alta",'Mapa final'!$L$16="Catastrófico"),CONCATENATE("R",'Mapa final'!$A$16),"")</f>
        <v/>
      </c>
      <c r="AI14" s="102"/>
      <c r="AJ14" s="172" t="str">
        <f>IF(AND('Mapa final'!$H$21="Alta",'Mapa final'!$L$21="Catastrófico"),CONCATENATE("R",'Mapa final'!$A$21),"")</f>
        <v/>
      </c>
      <c r="AK14" s="102"/>
      <c r="AL14" s="172" t="str">
        <f>IF(AND('Mapa final'!$H$26="Alta",'Mapa final'!$L$26="Catastrófico"),CONCATENATE("R",'Mapa final'!$A$26),"")</f>
        <v/>
      </c>
      <c r="AM14" s="107"/>
      <c r="AN14" s="64"/>
      <c r="AO14" s="176" t="s">
        <v>134</v>
      </c>
      <c r="AP14" s="147"/>
      <c r="AQ14" s="147"/>
      <c r="AR14" s="147"/>
      <c r="AS14" s="147"/>
      <c r="AT14" s="148"/>
    </row>
    <row r="15" customHeight="1" spans="2:46">
      <c r="B15" s="63"/>
      <c r="D15" s="100"/>
      <c r="E15" s="103"/>
      <c r="J15" s="103"/>
      <c r="K15" s="63"/>
      <c r="L15" s="63"/>
      <c r="M15" s="63"/>
      <c r="N15" s="63"/>
      <c r="O15" s="100"/>
      <c r="P15" s="103"/>
      <c r="Q15" s="63"/>
      <c r="R15" s="63"/>
      <c r="S15" s="63"/>
      <c r="T15" s="63"/>
      <c r="U15" s="100"/>
      <c r="V15" s="103"/>
      <c r="W15" s="63"/>
      <c r="X15" s="63"/>
      <c r="Y15" s="63"/>
      <c r="Z15" s="63"/>
      <c r="AA15" s="100"/>
      <c r="AB15" s="103"/>
      <c r="AC15" s="63"/>
      <c r="AD15" s="63"/>
      <c r="AE15" s="63"/>
      <c r="AF15" s="63"/>
      <c r="AG15" s="100"/>
      <c r="AH15" s="103"/>
      <c r="AI15" s="63"/>
      <c r="AJ15" s="63"/>
      <c r="AK15" s="63"/>
      <c r="AL15" s="63"/>
      <c r="AM15" s="100"/>
      <c r="AN15" s="64"/>
      <c r="AO15" s="149"/>
      <c r="AT15" s="150"/>
    </row>
    <row r="16" customHeight="1" spans="2:46">
      <c r="B16" s="63"/>
      <c r="D16" s="100"/>
      <c r="E16" s="103"/>
      <c r="J16" s="165" t="str">
        <f>IF(AND('Mapa final'!$H$31="Alta",'Mapa final'!$L$31="Leve"),CONCATENATE("R",'Mapa final'!$A$31),"")</f>
        <v/>
      </c>
      <c r="K16" s="63"/>
      <c r="L16" s="166" t="str">
        <f>IF(AND('Mapa final'!$H$36="Alta",'Mapa final'!$L$36="Leve"),CONCATENATE("R",'Mapa final'!$A$36),"")</f>
        <v/>
      </c>
      <c r="M16" s="63"/>
      <c r="N16" s="166" t="str">
        <f>IF(AND('Mapa final'!$H$41="Alta",'Mapa final'!$L$41="Leve"),CONCATENATE("R",'Mapa final'!$A$41),"")</f>
        <v/>
      </c>
      <c r="O16" s="100"/>
      <c r="P16" s="165" t="str">
        <f>IF(AND('Mapa final'!$H$31="Alta",'Mapa final'!$L$31="Menor"),CONCATENATE("R",'Mapa final'!$A$31),"")</f>
        <v/>
      </c>
      <c r="Q16" s="63"/>
      <c r="R16" s="166" t="str">
        <f>IF(AND('Mapa final'!$H$36="Alta",'Mapa final'!$L$36="Menor"),CONCATENATE("R",'Mapa final'!$A$36),"")</f>
        <v/>
      </c>
      <c r="S16" s="63"/>
      <c r="T16" s="166" t="str">
        <f>IF(AND('Mapa final'!$H$41="Alta",'Mapa final'!$L$41="Menor"),CONCATENATE("R",'Mapa final'!$A$41),"")</f>
        <v/>
      </c>
      <c r="U16" s="100"/>
      <c r="V16" s="161" t="str">
        <f>IF(AND('Mapa final'!$H$31="Alta",'Mapa final'!$L$31="Moderado"),CONCATENATE("R",'Mapa final'!$A$31),"")</f>
        <v/>
      </c>
      <c r="W16" s="63"/>
      <c r="X16" s="162" t="str">
        <f>IF(AND('Mapa final'!$H$36="Alta",'Mapa final'!$L$36="Moderado"),CONCATENATE("R",'Mapa final'!$A$36),"")</f>
        <v/>
      </c>
      <c r="Y16" s="63"/>
      <c r="Z16" s="162" t="str">
        <f>IF(AND('Mapa final'!$H$41="Alta",'Mapa final'!$L$41="Moderado"),CONCATENATE("R",'Mapa final'!$A$41),"")</f>
        <v/>
      </c>
      <c r="AA16" s="100"/>
      <c r="AB16" s="161" t="str">
        <f>IF(AND('Mapa final'!$H$31="Alta",'Mapa final'!$L$31="Mayor"),CONCATENATE("R",'Mapa final'!$A$31),"")</f>
        <v/>
      </c>
      <c r="AC16" s="63"/>
      <c r="AD16" s="162" t="str">
        <f>IF(AND('Mapa final'!$H$36="Alta",'Mapa final'!$L$36="Mayor"),CONCATENATE("R",'Mapa final'!$A$36),"")</f>
        <v/>
      </c>
      <c r="AE16" s="63"/>
      <c r="AF16" s="162" t="str">
        <f>IF(AND('Mapa final'!$H$41="Alta",'Mapa final'!$L$41="Mayor"),CONCATENATE("R",'Mapa final'!$A$41),"")</f>
        <v/>
      </c>
      <c r="AG16" s="100"/>
      <c r="AH16" s="173" t="str">
        <f>IF(AND('Mapa final'!$H$31="Alta",'Mapa final'!$L$31="Catastrófico"),CONCATENATE("R",'Mapa final'!$A$31),"")</f>
        <v/>
      </c>
      <c r="AI16" s="63"/>
      <c r="AJ16" s="174" t="str">
        <f>IF(AND('Mapa final'!$H$36="Alta",'Mapa final'!$L$36="Catastrófico"),CONCATENATE("R",'Mapa final'!$A$36),"")</f>
        <v/>
      </c>
      <c r="AK16" s="63"/>
      <c r="AL16" s="174" t="str">
        <f>IF(AND('Mapa final'!$H$41="Alta",'Mapa final'!$L$41="Catastrófico"),CONCATENATE("R",'Mapa final'!$A$41),"")</f>
        <v/>
      </c>
      <c r="AM16" s="100"/>
      <c r="AN16" s="64"/>
      <c r="AO16" s="149"/>
      <c r="AT16" s="150"/>
    </row>
    <row r="17" customHeight="1" spans="2:46">
      <c r="B17" s="63"/>
      <c r="D17" s="100"/>
      <c r="E17" s="103"/>
      <c r="J17" s="103"/>
      <c r="K17" s="63"/>
      <c r="L17" s="63"/>
      <c r="M17" s="63"/>
      <c r="N17" s="63"/>
      <c r="O17" s="100"/>
      <c r="P17" s="103"/>
      <c r="Q17" s="63"/>
      <c r="R17" s="63"/>
      <c r="S17" s="63"/>
      <c r="T17" s="63"/>
      <c r="U17" s="100"/>
      <c r="V17" s="103"/>
      <c r="W17" s="63"/>
      <c r="X17" s="63"/>
      <c r="Y17" s="63"/>
      <c r="Z17" s="63"/>
      <c r="AA17" s="100"/>
      <c r="AB17" s="103"/>
      <c r="AC17" s="63"/>
      <c r="AD17" s="63"/>
      <c r="AE17" s="63"/>
      <c r="AF17" s="63"/>
      <c r="AG17" s="100"/>
      <c r="AH17" s="103"/>
      <c r="AI17" s="63"/>
      <c r="AJ17" s="63"/>
      <c r="AK17" s="63"/>
      <c r="AL17" s="63"/>
      <c r="AM17" s="100"/>
      <c r="AN17" s="64"/>
      <c r="AO17" s="149"/>
      <c r="AT17" s="150"/>
    </row>
    <row r="18" customHeight="1" spans="2:46">
      <c r="B18" s="63"/>
      <c r="D18" s="100"/>
      <c r="E18" s="103"/>
      <c r="J18" s="165" t="e">
        <f>IF(AND('Mapa final'!#REF!="Alta",'Mapa final'!#REF!="Leve"),CONCATENATE("R",'Mapa final'!#REF!),"")</f>
        <v>#REF!</v>
      </c>
      <c r="K18" s="63"/>
      <c r="L18" s="166" t="e">
        <f>IF(AND('Mapa final'!#REF!="Alta",'Mapa final'!#REF!="Leve"),CONCATENATE("R",'Mapa final'!#REF!),"")</f>
        <v>#REF!</v>
      </c>
      <c r="M18" s="63"/>
      <c r="N18" s="166" t="e">
        <f>IF(AND('Mapa final'!#REF!="Alta",'Mapa final'!#REF!="Leve"),CONCATENATE("R",'Mapa final'!#REF!),"")</f>
        <v>#REF!</v>
      </c>
      <c r="O18" s="100"/>
      <c r="P18" s="165" t="e">
        <f>IF(AND('Mapa final'!#REF!="Alta",'Mapa final'!#REF!="Menor"),CONCATENATE("R",'Mapa final'!#REF!),"")</f>
        <v>#REF!</v>
      </c>
      <c r="Q18" s="63"/>
      <c r="R18" s="166" t="e">
        <f>IF(AND('Mapa final'!#REF!="Alta",'Mapa final'!#REF!="Menor"),CONCATENATE("R",'Mapa final'!#REF!),"")</f>
        <v>#REF!</v>
      </c>
      <c r="S18" s="63"/>
      <c r="T18" s="166" t="e">
        <f>IF(AND('Mapa final'!#REF!="Alta",'Mapa final'!#REF!="Menor"),CONCATENATE("R",'Mapa final'!#REF!),"")</f>
        <v>#REF!</v>
      </c>
      <c r="U18" s="100"/>
      <c r="V18" s="161" t="e">
        <f>IF(AND('Mapa final'!#REF!="Alta",'Mapa final'!#REF!="Moderado"),CONCATENATE("R",'Mapa final'!#REF!),"")</f>
        <v>#REF!</v>
      </c>
      <c r="W18" s="63"/>
      <c r="X18" s="162" t="e">
        <f>IF(AND('Mapa final'!#REF!="Alta",'Mapa final'!#REF!="Moderado"),CONCATENATE("R",'Mapa final'!#REF!),"")</f>
        <v>#REF!</v>
      </c>
      <c r="Y18" s="63"/>
      <c r="Z18" s="162" t="e">
        <f>IF(AND('Mapa final'!#REF!="Alta",'Mapa final'!#REF!="Moderado"),CONCATENATE("R",'Mapa final'!#REF!),"")</f>
        <v>#REF!</v>
      </c>
      <c r="AA18" s="100"/>
      <c r="AB18" s="161" t="e">
        <f>IF(AND('Mapa final'!#REF!="Alta",'Mapa final'!#REF!="Mayor"),CONCATENATE("R",'Mapa final'!#REF!),"")</f>
        <v>#REF!</v>
      </c>
      <c r="AC18" s="63"/>
      <c r="AD18" s="162" t="e">
        <f>IF(AND('Mapa final'!#REF!="Alta",'Mapa final'!#REF!="Mayor"),CONCATENATE("R",'Mapa final'!#REF!),"")</f>
        <v>#REF!</v>
      </c>
      <c r="AE18" s="63"/>
      <c r="AF18" s="162" t="e">
        <f>IF(AND('Mapa final'!#REF!="Alta",'Mapa final'!#REF!="Mayor"),CONCATENATE("R",'Mapa final'!#REF!),"")</f>
        <v>#REF!</v>
      </c>
      <c r="AG18" s="100"/>
      <c r="AH18" s="173" t="e">
        <f>IF(AND('Mapa final'!#REF!="Alta",'Mapa final'!#REF!="Catastrófico"),CONCATENATE("R",'Mapa final'!#REF!),"")</f>
        <v>#REF!</v>
      </c>
      <c r="AI18" s="63"/>
      <c r="AJ18" s="174" t="e">
        <f>IF(AND('Mapa final'!#REF!="Alta",'Mapa final'!#REF!="Catastrófico"),CONCATENATE("R",'Mapa final'!#REF!),"")</f>
        <v>#REF!</v>
      </c>
      <c r="AK18" s="63"/>
      <c r="AL18" s="174" t="e">
        <f>IF(AND('Mapa final'!#REF!="Alta",'Mapa final'!#REF!="Catastrófico"),CONCATENATE("R",'Mapa final'!#REF!),"")</f>
        <v>#REF!</v>
      </c>
      <c r="AM18" s="100"/>
      <c r="AN18" s="64"/>
      <c r="AO18" s="149"/>
      <c r="AT18" s="150"/>
    </row>
    <row r="19" customHeight="1" spans="2:46">
      <c r="B19" s="63"/>
      <c r="D19" s="100"/>
      <c r="E19" s="103"/>
      <c r="J19" s="103"/>
      <c r="K19" s="63"/>
      <c r="L19" s="63"/>
      <c r="M19" s="63"/>
      <c r="N19" s="63"/>
      <c r="O19" s="100"/>
      <c r="P19" s="103"/>
      <c r="Q19" s="63"/>
      <c r="R19" s="63"/>
      <c r="S19" s="63"/>
      <c r="T19" s="63"/>
      <c r="U19" s="100"/>
      <c r="V19" s="103"/>
      <c r="W19" s="63"/>
      <c r="X19" s="63"/>
      <c r="Y19" s="63"/>
      <c r="Z19" s="63"/>
      <c r="AA19" s="100"/>
      <c r="AB19" s="103"/>
      <c r="AC19" s="63"/>
      <c r="AD19" s="63"/>
      <c r="AE19" s="63"/>
      <c r="AF19" s="63"/>
      <c r="AG19" s="100"/>
      <c r="AH19" s="103"/>
      <c r="AI19" s="63"/>
      <c r="AJ19" s="63"/>
      <c r="AK19" s="63"/>
      <c r="AL19" s="63"/>
      <c r="AM19" s="100"/>
      <c r="AN19" s="64"/>
      <c r="AO19" s="149"/>
      <c r="AT19" s="150"/>
    </row>
    <row r="20" customHeight="1" spans="2:46">
      <c r="B20" s="63"/>
      <c r="D20" s="100"/>
      <c r="E20" s="103"/>
      <c r="J20" s="165" t="e">
        <f>IF(AND('Mapa final'!#REF!="Alta",'Mapa final'!#REF!="Leve"),CONCATENATE("R",'Mapa final'!#REF!),"")</f>
        <v>#REF!</v>
      </c>
      <c r="K20" s="63"/>
      <c r="L20" s="166" t="str">
        <f>IF(AND('Mapa final'!$H$46="Alta",'Mapa final'!$L$46="Leve"),CONCATENATE("R",'Mapa final'!$A$46),"")</f>
        <v/>
      </c>
      <c r="M20" s="63"/>
      <c r="N20" s="166" t="str">
        <f>IF(AND('Mapa final'!$H$52="Alta",'Mapa final'!$L$52="Leve"),CONCATENATE("R",'Mapa final'!$A$52),"")</f>
        <v/>
      </c>
      <c r="O20" s="100"/>
      <c r="P20" s="165" t="e">
        <f>IF(AND('Mapa final'!#REF!="Alta",'Mapa final'!#REF!="Menor"),CONCATENATE("R",'Mapa final'!#REF!),"")</f>
        <v>#REF!</v>
      </c>
      <c r="Q20" s="63"/>
      <c r="R20" s="166" t="str">
        <f>IF(AND('Mapa final'!$H$46="Alta",'Mapa final'!$L$46="Menor"),CONCATENATE("R",'Mapa final'!$A$46),"")</f>
        <v/>
      </c>
      <c r="S20" s="63"/>
      <c r="T20" s="166" t="str">
        <f>IF(AND('Mapa final'!$H$52="Alta",'Mapa final'!$L$52="Menor"),CONCATENATE("R",'Mapa final'!$A$52),"")</f>
        <v/>
      </c>
      <c r="U20" s="100"/>
      <c r="V20" s="161" t="e">
        <f>IF(AND('Mapa final'!#REF!="Alta",'Mapa final'!#REF!="Moderado"),CONCATENATE("R",'Mapa final'!#REF!),"")</f>
        <v>#REF!</v>
      </c>
      <c r="W20" s="63"/>
      <c r="X20" s="162" t="str">
        <f>IF(AND('Mapa final'!$H$46="Alta",'Mapa final'!$L$46="Moderado"),CONCATENATE("R",'Mapa final'!$A$46),"")</f>
        <v/>
      </c>
      <c r="Y20" s="63"/>
      <c r="Z20" s="162" t="str">
        <f>IF(AND('Mapa final'!$H$52="Alta",'Mapa final'!$L$52="Moderado"),CONCATENATE("R",'Mapa final'!$A$52),"")</f>
        <v/>
      </c>
      <c r="AA20" s="100"/>
      <c r="AB20" s="161" t="e">
        <f>IF(AND('Mapa final'!#REF!="Alta",'Mapa final'!#REF!="Mayor"),CONCATENATE("R",'Mapa final'!#REF!),"")</f>
        <v>#REF!</v>
      </c>
      <c r="AC20" s="63"/>
      <c r="AD20" s="162" t="str">
        <f>IF(AND('Mapa final'!$H$46="Alta",'Mapa final'!$L$46="Mayor"),CONCATENATE("R",'Mapa final'!$A$46),"")</f>
        <v/>
      </c>
      <c r="AE20" s="63"/>
      <c r="AF20" s="162" t="str">
        <f>IF(AND('Mapa final'!$H$52="Alta",'Mapa final'!$L$52="Mayor"),CONCATENATE("R",'Mapa final'!$A$52),"")</f>
        <v/>
      </c>
      <c r="AG20" s="100"/>
      <c r="AH20" s="173" t="e">
        <f>IF(AND('Mapa final'!#REF!="Alta",'Mapa final'!#REF!="Catastrófico"),CONCATENATE("R",'Mapa final'!#REF!),"")</f>
        <v>#REF!</v>
      </c>
      <c r="AI20" s="63"/>
      <c r="AJ20" s="174" t="str">
        <f>IF(AND('Mapa final'!$H$46="Alta",'Mapa final'!$L$46="Catastrófico"),CONCATENATE("R",'Mapa final'!$A$46),"")</f>
        <v/>
      </c>
      <c r="AK20" s="63"/>
      <c r="AL20" s="174" t="str">
        <f>IF(AND('Mapa final'!$H$52="Alta",'Mapa final'!$L$52="Catastrófico"),CONCATENATE("R",'Mapa final'!$A$52),"")</f>
        <v/>
      </c>
      <c r="AM20" s="100"/>
      <c r="AN20" s="64"/>
      <c r="AO20" s="149"/>
      <c r="AT20" s="150"/>
    </row>
    <row r="21" ht="15.75" customHeight="1" spans="2:46">
      <c r="B21" s="63"/>
      <c r="D21" s="100"/>
      <c r="E21" s="104"/>
      <c r="F21" s="105"/>
      <c r="G21" s="105"/>
      <c r="H21" s="105"/>
      <c r="I21" s="105"/>
      <c r="J21" s="104"/>
      <c r="K21" s="105"/>
      <c r="L21" s="105"/>
      <c r="M21" s="105"/>
      <c r="N21" s="105"/>
      <c r="O21" s="114"/>
      <c r="P21" s="104"/>
      <c r="Q21" s="105"/>
      <c r="R21" s="105"/>
      <c r="S21" s="105"/>
      <c r="T21" s="105"/>
      <c r="U21" s="114"/>
      <c r="V21" s="104"/>
      <c r="W21" s="105"/>
      <c r="X21" s="105"/>
      <c r="Y21" s="105"/>
      <c r="Z21" s="105"/>
      <c r="AA21" s="114"/>
      <c r="AB21" s="104"/>
      <c r="AC21" s="105"/>
      <c r="AD21" s="105"/>
      <c r="AE21" s="105"/>
      <c r="AF21" s="105"/>
      <c r="AG21" s="114"/>
      <c r="AH21" s="104"/>
      <c r="AI21" s="105"/>
      <c r="AJ21" s="105"/>
      <c r="AK21" s="105"/>
      <c r="AL21" s="105"/>
      <c r="AM21" s="114"/>
      <c r="AN21" s="64"/>
      <c r="AO21" s="151"/>
      <c r="AP21" s="152"/>
      <c r="AQ21" s="152"/>
      <c r="AR21" s="152"/>
      <c r="AS21" s="152"/>
      <c r="AT21" s="153"/>
    </row>
    <row r="22" ht="15.75" customHeight="1" spans="2:46">
      <c r="B22" s="63"/>
      <c r="D22" s="100"/>
      <c r="E22" s="158" t="s">
        <v>135</v>
      </c>
      <c r="F22" s="102"/>
      <c r="G22" s="102"/>
      <c r="H22" s="102"/>
      <c r="I22" s="107"/>
      <c r="J22" s="163" t="str">
        <f>IF(AND('Mapa final'!$H$16="Media",'Mapa final'!$L$16="Leve"),CONCATENATE("R",'Mapa final'!$A$16),"")</f>
        <v>R1</v>
      </c>
      <c r="K22" s="102"/>
      <c r="L22" s="164" t="str">
        <f>IF(AND('Mapa final'!$H$21="Media",'Mapa final'!$L$21="Leve"),CONCATENATE("R",'Mapa final'!$A$21),"")</f>
        <v/>
      </c>
      <c r="M22" s="102"/>
      <c r="N22" s="164" t="str">
        <f>IF(AND('Mapa final'!$H$26="Media",'Mapa final'!$L$26="Leve"),CONCATENATE("R",'Mapa final'!$A$26),"")</f>
        <v/>
      </c>
      <c r="O22" s="107"/>
      <c r="P22" s="163" t="str">
        <f>IF(AND('Mapa final'!$H$16="Media",'Mapa final'!$L$16="Menor"),CONCATENATE("R",'Mapa final'!$A$16),"")</f>
        <v/>
      </c>
      <c r="Q22" s="102"/>
      <c r="R22" s="164" t="str">
        <f>IF(AND('Mapa final'!$H$21="Media",'Mapa final'!$L$21="Menor"),CONCATENATE("R",'Mapa final'!$A$21),"")</f>
        <v/>
      </c>
      <c r="S22" s="102"/>
      <c r="T22" s="164" t="str">
        <f>IF(AND('Mapa final'!$H$26="Media",'Mapa final'!$L$26="Menor"),CONCATENATE("R",'Mapa final'!$A$26),"")</f>
        <v/>
      </c>
      <c r="U22" s="107"/>
      <c r="V22" s="163" t="str">
        <f>IF(AND('Mapa final'!$H$16="Media",'Mapa final'!$L$16="Moderado"),CONCATENATE("R",'Mapa final'!$A$16),"")</f>
        <v/>
      </c>
      <c r="W22" s="102"/>
      <c r="X22" s="164" t="str">
        <f>IF(AND('Mapa final'!$H$21="Media",'Mapa final'!$L$21="Moderado"),CONCATENATE("R",'Mapa final'!$A$21),"")</f>
        <v>R2</v>
      </c>
      <c r="Y22" s="102"/>
      <c r="Z22" s="164" t="str">
        <f>IF(AND('Mapa final'!$H$26="Media",'Mapa final'!$L$26="Moderado"),CONCATENATE("R",'Mapa final'!$A$26),"")</f>
        <v/>
      </c>
      <c r="AA22" s="107"/>
      <c r="AB22" s="159" t="str">
        <f>IF(AND('Mapa final'!$H$16="Media",'Mapa final'!$L$16="Mayor"),CONCATENATE("R",'Mapa final'!$A$16),"")</f>
        <v/>
      </c>
      <c r="AC22" s="102"/>
      <c r="AD22" s="160" t="str">
        <f>IF(AND('Mapa final'!$H$21="Media",'Mapa final'!$L$21="Mayor"),CONCATENATE("R",'Mapa final'!$A$21),"")</f>
        <v/>
      </c>
      <c r="AE22" s="102"/>
      <c r="AF22" s="160" t="str">
        <f>IF(AND('Mapa final'!$H$26="Media",'Mapa final'!$L$26="Mayor"),CONCATENATE("R",'Mapa final'!$A$26),"")</f>
        <v/>
      </c>
      <c r="AG22" s="107"/>
      <c r="AH22" s="171" t="str">
        <f>IF(AND('Mapa final'!$H$16="Media",'Mapa final'!$L$16="Catastrófico"),CONCATENATE("R",'Mapa final'!$A$16),"")</f>
        <v/>
      </c>
      <c r="AI22" s="102"/>
      <c r="AJ22" s="172" t="str">
        <f>IF(AND('Mapa final'!$H$21="Media",'Mapa final'!$L$21="Catastrófico"),CONCATENATE("R",'Mapa final'!$A$21),"")</f>
        <v/>
      </c>
      <c r="AK22" s="102"/>
      <c r="AL22" s="172" t="str">
        <f>IF(AND('Mapa final'!$H$26="Media",'Mapa final'!$L$26="Catastrófico"),CONCATENATE("R",'Mapa final'!$A$26),"")</f>
        <v/>
      </c>
      <c r="AM22" s="107"/>
      <c r="AN22" s="64"/>
      <c r="AO22" s="177" t="s">
        <v>136</v>
      </c>
      <c r="AP22" s="147"/>
      <c r="AQ22" s="147"/>
      <c r="AR22" s="147"/>
      <c r="AS22" s="147"/>
      <c r="AT22" s="148"/>
    </row>
    <row r="23" ht="15.75" customHeight="1" spans="2:46">
      <c r="B23" s="63"/>
      <c r="D23" s="100"/>
      <c r="E23" s="103"/>
      <c r="I23" s="100"/>
      <c r="J23" s="103"/>
      <c r="K23" s="63"/>
      <c r="L23" s="63"/>
      <c r="M23" s="63"/>
      <c r="N23" s="63"/>
      <c r="O23" s="100"/>
      <c r="P23" s="103"/>
      <c r="Q23" s="63"/>
      <c r="R23" s="63"/>
      <c r="S23" s="63"/>
      <c r="T23" s="63"/>
      <c r="U23" s="100"/>
      <c r="V23" s="103"/>
      <c r="W23" s="63"/>
      <c r="X23" s="63"/>
      <c r="Y23" s="63"/>
      <c r="Z23" s="63"/>
      <c r="AA23" s="100"/>
      <c r="AB23" s="103"/>
      <c r="AC23" s="63"/>
      <c r="AD23" s="63"/>
      <c r="AE23" s="63"/>
      <c r="AF23" s="63"/>
      <c r="AG23" s="100"/>
      <c r="AH23" s="103"/>
      <c r="AI23" s="63"/>
      <c r="AJ23" s="63"/>
      <c r="AK23" s="63"/>
      <c r="AL23" s="63"/>
      <c r="AM23" s="100"/>
      <c r="AN23" s="64"/>
      <c r="AO23" s="149"/>
      <c r="AT23" s="150"/>
    </row>
    <row r="24" ht="15.75" customHeight="1" spans="2:46">
      <c r="B24" s="63"/>
      <c r="D24" s="100"/>
      <c r="E24" s="103"/>
      <c r="I24" s="100"/>
      <c r="J24" s="165" t="str">
        <f>IF(AND('Mapa final'!$H$31="Media",'Mapa final'!$L$31="Leve"),CONCATENATE("R",'Mapa final'!$A$31),"")</f>
        <v/>
      </c>
      <c r="K24" s="63"/>
      <c r="L24" s="166" t="str">
        <f>IF(AND('Mapa final'!$H$36="Media",'Mapa final'!$L$36="Leve"),CONCATENATE("R",'Mapa final'!$A$36),"")</f>
        <v/>
      </c>
      <c r="M24" s="63"/>
      <c r="N24" s="166" t="str">
        <f>IF(AND('Mapa final'!$H$41="Media",'Mapa final'!$L$41="Leve"),CONCATENATE("R",'Mapa final'!$A$41),"")</f>
        <v/>
      </c>
      <c r="O24" s="100"/>
      <c r="P24" s="165" t="str">
        <f>IF(AND('Mapa final'!$H$31="Media",'Mapa final'!$L$31="Menor"),CONCATENATE("R",'Mapa final'!$A$31),"")</f>
        <v/>
      </c>
      <c r="Q24" s="63"/>
      <c r="R24" s="166" t="str">
        <f>IF(AND('Mapa final'!$H$36="Media",'Mapa final'!$L$36="Menor"),CONCATENATE("R",'Mapa final'!$A$36),"")</f>
        <v/>
      </c>
      <c r="S24" s="63"/>
      <c r="T24" s="166" t="str">
        <f>IF(AND('Mapa final'!$H$41="Media",'Mapa final'!$L$41="Menor"),CONCATENATE("R",'Mapa final'!$A$41),"")</f>
        <v/>
      </c>
      <c r="U24" s="100"/>
      <c r="V24" s="165" t="str">
        <f>IF(AND('Mapa final'!$H$31="Media",'Mapa final'!$L$31="Moderado"),CONCATENATE("R",'Mapa final'!$A$31),"")</f>
        <v/>
      </c>
      <c r="W24" s="63"/>
      <c r="X24" s="166" t="str">
        <f>IF(AND('Mapa final'!$H$36="Media",'Mapa final'!$L$36="Moderado"),CONCATENATE("R",'Mapa final'!$A$36),"")</f>
        <v/>
      </c>
      <c r="Y24" s="63"/>
      <c r="Z24" s="166" t="str">
        <f>IF(AND('Mapa final'!$H$41="Media",'Mapa final'!$L$41="Moderado"),CONCATENATE("R",'Mapa final'!$A$41),"")</f>
        <v/>
      </c>
      <c r="AA24" s="100"/>
      <c r="AB24" s="161" t="str">
        <f>IF(AND('Mapa final'!$H$31="Media",'Mapa final'!$L$31="Mayor"),CONCATENATE("R",'Mapa final'!$A$31),"")</f>
        <v/>
      </c>
      <c r="AC24" s="63"/>
      <c r="AD24" s="162" t="str">
        <f>IF(AND('Mapa final'!$H$36="Media",'Mapa final'!$L$36="Mayor"),CONCATENATE("R",'Mapa final'!$A$36),"")</f>
        <v/>
      </c>
      <c r="AE24" s="63"/>
      <c r="AF24" s="162" t="str">
        <f>IF(AND('Mapa final'!$H$41="Media",'Mapa final'!$L$41="Mayor"),CONCATENATE("R",'Mapa final'!$A$41),"")</f>
        <v/>
      </c>
      <c r="AG24" s="100"/>
      <c r="AH24" s="173" t="str">
        <f>IF(AND('Mapa final'!$H$31="Media",'Mapa final'!$L$31="Catastrófico"),CONCATENATE("R",'Mapa final'!$A$31),"")</f>
        <v/>
      </c>
      <c r="AI24" s="63"/>
      <c r="AJ24" s="174" t="str">
        <f>IF(AND('Mapa final'!$H$36="Media",'Mapa final'!$L$36="Catastrófico"),CONCATENATE("R",'Mapa final'!$A$36),"")</f>
        <v/>
      </c>
      <c r="AK24" s="63"/>
      <c r="AL24" s="174" t="str">
        <f>IF(AND('Mapa final'!$H$41="Media",'Mapa final'!$L$41="Catastrófico"),CONCATENATE("R",'Mapa final'!$A$41),"")</f>
        <v/>
      </c>
      <c r="AM24" s="100"/>
      <c r="AN24" s="64"/>
      <c r="AO24" s="149"/>
      <c r="AT24" s="150"/>
    </row>
    <row r="25" ht="15.75" customHeight="1" spans="2:46">
      <c r="B25" s="63"/>
      <c r="D25" s="100"/>
      <c r="E25" s="103"/>
      <c r="I25" s="100"/>
      <c r="J25" s="103"/>
      <c r="K25" s="63"/>
      <c r="L25" s="63"/>
      <c r="M25" s="63"/>
      <c r="N25" s="63"/>
      <c r="O25" s="100"/>
      <c r="P25" s="103"/>
      <c r="Q25" s="63"/>
      <c r="R25" s="63"/>
      <c r="S25" s="63"/>
      <c r="T25" s="63"/>
      <c r="U25" s="100"/>
      <c r="V25" s="103"/>
      <c r="W25" s="63"/>
      <c r="X25" s="63"/>
      <c r="Y25" s="63"/>
      <c r="Z25" s="63"/>
      <c r="AA25" s="100"/>
      <c r="AB25" s="103"/>
      <c r="AC25" s="63"/>
      <c r="AD25" s="63"/>
      <c r="AE25" s="63"/>
      <c r="AF25" s="63"/>
      <c r="AG25" s="100"/>
      <c r="AH25" s="103"/>
      <c r="AI25" s="63"/>
      <c r="AJ25" s="63"/>
      <c r="AK25" s="63"/>
      <c r="AL25" s="63"/>
      <c r="AM25" s="100"/>
      <c r="AN25" s="64"/>
      <c r="AO25" s="149"/>
      <c r="AT25" s="150"/>
    </row>
    <row r="26" ht="15.75" customHeight="1" spans="2:46">
      <c r="B26" s="63"/>
      <c r="D26" s="100"/>
      <c r="E26" s="103"/>
      <c r="I26" s="100"/>
      <c r="J26" s="165" t="e">
        <f>IF(AND('Mapa final'!#REF!="Media",'Mapa final'!#REF!="Leve"),CONCATENATE("R",'Mapa final'!#REF!),"")</f>
        <v>#REF!</v>
      </c>
      <c r="K26" s="63"/>
      <c r="L26" s="166" t="e">
        <f>IF(AND('Mapa final'!#REF!="Media",'Mapa final'!#REF!="Leve"),CONCATENATE("R",'Mapa final'!#REF!),"")</f>
        <v>#REF!</v>
      </c>
      <c r="M26" s="63"/>
      <c r="N26" s="166" t="e">
        <f>IF(AND('Mapa final'!#REF!="Media",'Mapa final'!#REF!="Leve"),CONCATENATE("R",'Mapa final'!#REF!),"")</f>
        <v>#REF!</v>
      </c>
      <c r="O26" s="100"/>
      <c r="P26" s="165" t="e">
        <f>IF(AND('Mapa final'!#REF!="Media",'Mapa final'!#REF!="Menor"),CONCATENATE("R",'Mapa final'!#REF!),"")</f>
        <v>#REF!</v>
      </c>
      <c r="Q26" s="63"/>
      <c r="R26" s="166" t="e">
        <f>IF(AND('Mapa final'!#REF!="Media",'Mapa final'!#REF!="Menor"),CONCATENATE("R",'Mapa final'!#REF!),"")</f>
        <v>#REF!</v>
      </c>
      <c r="S26" s="63"/>
      <c r="T26" s="166" t="e">
        <f>IF(AND('Mapa final'!#REF!="Media",'Mapa final'!#REF!="Menor"),CONCATENATE("R",'Mapa final'!#REF!),"")</f>
        <v>#REF!</v>
      </c>
      <c r="U26" s="100"/>
      <c r="V26" s="165" t="e">
        <f>IF(AND('Mapa final'!#REF!="Media",'Mapa final'!#REF!="Moderado"),CONCATENATE("R",'Mapa final'!#REF!),"")</f>
        <v>#REF!</v>
      </c>
      <c r="W26" s="63"/>
      <c r="X26" s="166" t="e">
        <f>IF(AND('Mapa final'!#REF!="Media",'Mapa final'!#REF!="Moderado"),CONCATENATE("R",'Mapa final'!#REF!),"")</f>
        <v>#REF!</v>
      </c>
      <c r="Y26" s="63"/>
      <c r="Z26" s="166" t="e">
        <f>IF(AND('Mapa final'!#REF!="Media",'Mapa final'!#REF!="Moderado"),CONCATENATE("R",'Mapa final'!#REF!),"")</f>
        <v>#REF!</v>
      </c>
      <c r="AA26" s="100"/>
      <c r="AB26" s="161" t="e">
        <f>IF(AND('Mapa final'!#REF!="Media",'Mapa final'!#REF!="Mayor"),CONCATENATE("R",'Mapa final'!#REF!),"")</f>
        <v>#REF!</v>
      </c>
      <c r="AC26" s="63"/>
      <c r="AD26" s="162" t="e">
        <f>IF(AND('Mapa final'!#REF!="Media",'Mapa final'!#REF!="Mayor"),CONCATENATE("R",'Mapa final'!#REF!),"")</f>
        <v>#REF!</v>
      </c>
      <c r="AE26" s="63"/>
      <c r="AF26" s="162" t="e">
        <f>IF(AND('Mapa final'!#REF!="Media",'Mapa final'!#REF!="Mayor"),CONCATENATE("R",'Mapa final'!#REF!),"")</f>
        <v>#REF!</v>
      </c>
      <c r="AG26" s="100"/>
      <c r="AH26" s="173" t="e">
        <f>IF(AND('Mapa final'!#REF!="Media",'Mapa final'!#REF!="Catastrófico"),CONCATENATE("R",'Mapa final'!#REF!),"")</f>
        <v>#REF!</v>
      </c>
      <c r="AI26" s="63"/>
      <c r="AJ26" s="174" t="e">
        <f>IF(AND('Mapa final'!#REF!="Media",'Mapa final'!#REF!="Catastrófico"),CONCATENATE("R",'Mapa final'!#REF!),"")</f>
        <v>#REF!</v>
      </c>
      <c r="AK26" s="63"/>
      <c r="AL26" s="174" t="e">
        <f>IF(AND('Mapa final'!#REF!="Media",'Mapa final'!#REF!="Catastrófico"),CONCATENATE("R",'Mapa final'!#REF!),"")</f>
        <v>#REF!</v>
      </c>
      <c r="AM26" s="100"/>
      <c r="AN26" s="64"/>
      <c r="AO26" s="149"/>
      <c r="AT26" s="150"/>
    </row>
    <row r="27" ht="15.75" customHeight="1" spans="2:46">
      <c r="B27" s="63"/>
      <c r="D27" s="100"/>
      <c r="E27" s="103"/>
      <c r="I27" s="100"/>
      <c r="J27" s="103"/>
      <c r="K27" s="63"/>
      <c r="L27" s="63"/>
      <c r="M27" s="63"/>
      <c r="N27" s="63"/>
      <c r="O27" s="100"/>
      <c r="P27" s="103"/>
      <c r="Q27" s="63"/>
      <c r="R27" s="63"/>
      <c r="S27" s="63"/>
      <c r="T27" s="63"/>
      <c r="U27" s="100"/>
      <c r="V27" s="103"/>
      <c r="W27" s="63"/>
      <c r="X27" s="63"/>
      <c r="Y27" s="63"/>
      <c r="Z27" s="63"/>
      <c r="AA27" s="100"/>
      <c r="AB27" s="103"/>
      <c r="AC27" s="63"/>
      <c r="AD27" s="63"/>
      <c r="AE27" s="63"/>
      <c r="AF27" s="63"/>
      <c r="AG27" s="100"/>
      <c r="AH27" s="103"/>
      <c r="AI27" s="63"/>
      <c r="AJ27" s="63"/>
      <c r="AK27" s="63"/>
      <c r="AL27" s="63"/>
      <c r="AM27" s="100"/>
      <c r="AN27" s="64"/>
      <c r="AO27" s="149"/>
      <c r="AT27" s="150"/>
    </row>
    <row r="28" ht="15.75" customHeight="1" spans="2:46">
      <c r="B28" s="63"/>
      <c r="D28" s="100"/>
      <c r="E28" s="103"/>
      <c r="I28" s="100"/>
      <c r="J28" s="165" t="e">
        <f>IF(AND('Mapa final'!#REF!="Media",'Mapa final'!#REF!="Leve"),CONCATENATE("R",'Mapa final'!#REF!),"")</f>
        <v>#REF!</v>
      </c>
      <c r="K28" s="63"/>
      <c r="L28" s="166" t="str">
        <f>IF(AND('Mapa final'!$H$46="Media",'Mapa final'!$L$46="Leve"),CONCATENATE("R",'Mapa final'!$A$46),"")</f>
        <v/>
      </c>
      <c r="M28" s="63"/>
      <c r="N28" s="166" t="str">
        <f>IF(AND('Mapa final'!$H$52="Media",'Mapa final'!$L$52="Leve"),CONCATENATE("R",'Mapa final'!$A$52),"")</f>
        <v/>
      </c>
      <c r="O28" s="100"/>
      <c r="P28" s="165" t="e">
        <f>IF(AND('Mapa final'!#REF!="Media",'Mapa final'!#REF!="Menor"),CONCATENATE("R",'Mapa final'!#REF!),"")</f>
        <v>#REF!</v>
      </c>
      <c r="Q28" s="63"/>
      <c r="R28" s="166" t="str">
        <f>IF(AND('Mapa final'!$H$46="Media",'Mapa final'!$L$46="Menor"),CONCATENATE("R",'Mapa final'!$A$46),"")</f>
        <v/>
      </c>
      <c r="S28" s="63"/>
      <c r="T28" s="166" t="str">
        <f>IF(AND('Mapa final'!$H$52="Media",'Mapa final'!$L$52="Menor"),CONCATENATE("R",'Mapa final'!$A$52),"")</f>
        <v/>
      </c>
      <c r="U28" s="100"/>
      <c r="V28" s="165" t="e">
        <f>IF(AND('Mapa final'!#REF!="Media",'Mapa final'!#REF!="Moderado"),CONCATENATE("R",'Mapa final'!#REF!),"")</f>
        <v>#REF!</v>
      </c>
      <c r="W28" s="63"/>
      <c r="X28" s="166" t="str">
        <f>IF(AND('Mapa final'!$H$46="Media",'Mapa final'!$L$46="Moderado"),CONCATENATE("R",'Mapa final'!$A$46),"")</f>
        <v/>
      </c>
      <c r="Y28" s="63"/>
      <c r="Z28" s="166" t="str">
        <f>IF(AND('Mapa final'!$H$52="Media",'Mapa final'!$L$52="Moderado"),CONCATENATE("R",'Mapa final'!$A$52),"")</f>
        <v/>
      </c>
      <c r="AA28" s="100"/>
      <c r="AB28" s="161" t="e">
        <f>IF(AND('Mapa final'!#REF!="Media",'Mapa final'!#REF!="Mayor"),CONCATENATE("R",'Mapa final'!#REF!),"")</f>
        <v>#REF!</v>
      </c>
      <c r="AC28" s="63"/>
      <c r="AD28" s="162" t="str">
        <f>IF(AND('Mapa final'!$H$46="Media",'Mapa final'!$L$46="Mayor"),CONCATENATE("R",'Mapa final'!$A$46),"")</f>
        <v/>
      </c>
      <c r="AE28" s="63"/>
      <c r="AF28" s="162" t="str">
        <f>IF(AND('Mapa final'!$H$52="Media",'Mapa final'!$L$52="Mayor"),CONCATENATE("R",'Mapa final'!$A$52),"")</f>
        <v/>
      </c>
      <c r="AG28" s="100"/>
      <c r="AH28" s="173" t="e">
        <f>IF(AND('Mapa final'!#REF!="Media",'Mapa final'!#REF!="Catastrófico"),CONCATENATE("R",'Mapa final'!#REF!),"")</f>
        <v>#REF!</v>
      </c>
      <c r="AI28" s="63"/>
      <c r="AJ28" s="174" t="str">
        <f>IF(AND('Mapa final'!$H$46="Media",'Mapa final'!$L$46="Catastrófico"),CONCATENATE("R",'Mapa final'!$A$46),"")</f>
        <v/>
      </c>
      <c r="AK28" s="63"/>
      <c r="AL28" s="174" t="str">
        <f>IF(AND('Mapa final'!$H$52="Media",'Mapa final'!$L$52="Catastrófico"),CONCATENATE("R",'Mapa final'!$A$52),"")</f>
        <v/>
      </c>
      <c r="AM28" s="100"/>
      <c r="AN28" s="64"/>
      <c r="AO28" s="149"/>
      <c r="AT28" s="150"/>
    </row>
    <row r="29" ht="15.75" customHeight="1" spans="2:46">
      <c r="B29" s="63"/>
      <c r="D29" s="100"/>
      <c r="E29" s="104"/>
      <c r="F29" s="105"/>
      <c r="G29" s="105"/>
      <c r="H29" s="105"/>
      <c r="I29" s="114"/>
      <c r="J29" s="103"/>
      <c r="K29" s="63"/>
      <c r="L29" s="63"/>
      <c r="M29" s="63"/>
      <c r="N29" s="63"/>
      <c r="O29" s="100"/>
      <c r="P29" s="104"/>
      <c r="Q29" s="105"/>
      <c r="R29" s="105"/>
      <c r="S29" s="105"/>
      <c r="T29" s="105"/>
      <c r="U29" s="114"/>
      <c r="V29" s="104"/>
      <c r="W29" s="105"/>
      <c r="X29" s="105"/>
      <c r="Y29" s="105"/>
      <c r="Z29" s="105"/>
      <c r="AA29" s="114"/>
      <c r="AB29" s="104"/>
      <c r="AC29" s="105"/>
      <c r="AD29" s="105"/>
      <c r="AE29" s="105"/>
      <c r="AF29" s="105"/>
      <c r="AG29" s="114"/>
      <c r="AH29" s="104"/>
      <c r="AI29" s="105"/>
      <c r="AJ29" s="105"/>
      <c r="AK29" s="105"/>
      <c r="AL29" s="105"/>
      <c r="AM29" s="114"/>
      <c r="AN29" s="64"/>
      <c r="AO29" s="151"/>
      <c r="AP29" s="152"/>
      <c r="AQ29" s="152"/>
      <c r="AR29" s="152"/>
      <c r="AS29" s="152"/>
      <c r="AT29" s="153"/>
    </row>
    <row r="30" ht="15.75" customHeight="1" spans="2:46">
      <c r="B30" s="63"/>
      <c r="D30" s="100"/>
      <c r="E30" s="158" t="s">
        <v>137</v>
      </c>
      <c r="F30" s="102"/>
      <c r="G30" s="102"/>
      <c r="H30" s="102"/>
      <c r="I30" s="102"/>
      <c r="J30" s="167" t="str">
        <f>IF(AND('Mapa final'!$H$16="Baja",'Mapa final'!$L$16="Leve"),CONCATENATE("R",'Mapa final'!$A$16),"")</f>
        <v/>
      </c>
      <c r="K30" s="102"/>
      <c r="L30" s="168" t="str">
        <f>IF(AND('Mapa final'!$H$21="Baja",'Mapa final'!$L$21="Leve"),CONCATENATE("R",'Mapa final'!$A$21),"")</f>
        <v/>
      </c>
      <c r="M30" s="102"/>
      <c r="N30" s="168" t="str">
        <f>IF(AND('Mapa final'!$H$26="Baja",'Mapa final'!$L$26="Leve"),CONCATENATE("R",'Mapa final'!$A$26),"")</f>
        <v/>
      </c>
      <c r="O30" s="107"/>
      <c r="P30" s="164" t="str">
        <f>IF(AND('Mapa final'!$H$16="Baja",'Mapa final'!$L$16="Menor"),CONCATENATE("R",'Mapa final'!$A$16),"")</f>
        <v/>
      </c>
      <c r="Q30" s="102"/>
      <c r="R30" s="164" t="str">
        <f>IF(AND('Mapa final'!$H$21="Baja",'Mapa final'!$L$21="Menor"),CONCATENATE("R",'Mapa final'!$A$21),"")</f>
        <v/>
      </c>
      <c r="S30" s="102"/>
      <c r="T30" s="164" t="str">
        <f>IF(AND('Mapa final'!$H$26="Baja",'Mapa final'!$L$26="Menor"),CONCATENATE("R",'Mapa final'!$A$26),"")</f>
        <v/>
      </c>
      <c r="U30" s="107"/>
      <c r="V30" s="163" t="str">
        <f>IF(AND('Mapa final'!$H$16="Baja",'Mapa final'!$L$16="Moderado"),CONCATENATE("R",'Mapa final'!$A$16),"")</f>
        <v/>
      </c>
      <c r="W30" s="102"/>
      <c r="X30" s="164" t="str">
        <f>IF(AND('Mapa final'!$H$21="Baja",'Mapa final'!$L$21="Moderado"),CONCATENATE("R",'Mapa final'!$A$21),"")</f>
        <v/>
      </c>
      <c r="Y30" s="102"/>
      <c r="Z30" s="164" t="str">
        <f>IF(AND('Mapa final'!$H$26="Baja",'Mapa final'!$L$26="Moderado"),CONCATENATE("R",'Mapa final'!$A$26),"")</f>
        <v/>
      </c>
      <c r="AA30" s="107"/>
      <c r="AB30" s="159" t="str">
        <f>IF(AND('Mapa final'!$H$16="Baja",'Mapa final'!$L$16="Mayor"),CONCATENATE("R",'Mapa final'!$A$16),"")</f>
        <v/>
      </c>
      <c r="AC30" s="102"/>
      <c r="AD30" s="160" t="str">
        <f>IF(AND('Mapa final'!$H$21="Baja",'Mapa final'!$L$21="Mayor"),CONCATENATE("R",'Mapa final'!$A$21),"")</f>
        <v/>
      </c>
      <c r="AE30" s="102"/>
      <c r="AF30" s="160" t="str">
        <f>IF(AND('Mapa final'!$H$26="Baja",'Mapa final'!$L$26="Mayor"),CONCATENATE("R",'Mapa final'!$A$26),"")</f>
        <v/>
      </c>
      <c r="AG30" s="107"/>
      <c r="AH30" s="171" t="str">
        <f>IF(AND('Mapa final'!$H$16="Baja",'Mapa final'!$L$16="Catastrófico"),CONCATENATE("R",'Mapa final'!$A$16),"")</f>
        <v/>
      </c>
      <c r="AI30" s="102"/>
      <c r="AJ30" s="172" t="str">
        <f>IF(AND('Mapa final'!$H$21="Baja",'Mapa final'!$L$21="Catastrófico"),CONCATENATE("R",'Mapa final'!$A$21),"")</f>
        <v/>
      </c>
      <c r="AK30" s="102"/>
      <c r="AL30" s="172" t="str">
        <f>IF(AND('Mapa final'!$H$26="Baja",'Mapa final'!$L$26="Catastrófico"),CONCATENATE("R",'Mapa final'!$A$26),"")</f>
        <v/>
      </c>
      <c r="AM30" s="107"/>
      <c r="AN30" s="64"/>
      <c r="AO30" s="178" t="s">
        <v>138</v>
      </c>
      <c r="AP30" s="147"/>
      <c r="AQ30" s="147"/>
      <c r="AR30" s="147"/>
      <c r="AS30" s="147"/>
      <c r="AT30" s="148"/>
    </row>
    <row r="31" ht="15.75" customHeight="1" spans="2:46">
      <c r="B31" s="63"/>
      <c r="D31" s="100"/>
      <c r="E31" s="103"/>
      <c r="J31" s="103"/>
      <c r="K31" s="63"/>
      <c r="L31" s="63"/>
      <c r="M31" s="63"/>
      <c r="N31" s="63"/>
      <c r="O31" s="100"/>
      <c r="P31" s="63"/>
      <c r="Q31" s="63"/>
      <c r="R31" s="63"/>
      <c r="S31" s="63"/>
      <c r="T31" s="63"/>
      <c r="U31" s="100"/>
      <c r="V31" s="103"/>
      <c r="W31" s="63"/>
      <c r="X31" s="63"/>
      <c r="Y31" s="63"/>
      <c r="Z31" s="63"/>
      <c r="AA31" s="100"/>
      <c r="AB31" s="103"/>
      <c r="AC31" s="63"/>
      <c r="AD31" s="63"/>
      <c r="AE31" s="63"/>
      <c r="AF31" s="63"/>
      <c r="AG31" s="100"/>
      <c r="AH31" s="103"/>
      <c r="AI31" s="63"/>
      <c r="AJ31" s="63"/>
      <c r="AK31" s="63"/>
      <c r="AL31" s="63"/>
      <c r="AM31" s="100"/>
      <c r="AN31" s="64"/>
      <c r="AO31" s="149"/>
      <c r="AT31" s="150"/>
    </row>
    <row r="32" ht="15.75" customHeight="1" spans="2:46">
      <c r="B32" s="63"/>
      <c r="D32" s="100"/>
      <c r="E32" s="103"/>
      <c r="J32" s="169" t="str">
        <f>IF(AND('Mapa final'!$H$31="Baja",'Mapa final'!$L$31="Leve"),CONCATENATE("R",'Mapa final'!$A$31),"")</f>
        <v/>
      </c>
      <c r="K32" s="63"/>
      <c r="L32" s="170" t="str">
        <f>IF(AND('Mapa final'!$H$36="Baja",'Mapa final'!$L$36="Leve"),CONCATENATE("R",'Mapa final'!$A$36),"")</f>
        <v/>
      </c>
      <c r="M32" s="63"/>
      <c r="N32" s="170" t="str">
        <f>IF(AND('Mapa final'!$H$41="Baja",'Mapa final'!$L$41="Leve"),CONCATENATE("R",'Mapa final'!$A$41),"")</f>
        <v/>
      </c>
      <c r="O32" s="100"/>
      <c r="P32" s="166" t="str">
        <f>IF(AND('Mapa final'!$H$31="Baja",'Mapa final'!$L$31="Menor"),CONCATENATE("R",'Mapa final'!$A$31),"")</f>
        <v/>
      </c>
      <c r="Q32" s="63"/>
      <c r="R32" s="166" t="str">
        <f>IF(AND('Mapa final'!$H$36="Baja",'Mapa final'!$L$36="Menor"),CONCATENATE("R",'Mapa final'!$A$36),"")</f>
        <v/>
      </c>
      <c r="S32" s="63"/>
      <c r="T32" s="166" t="str">
        <f>IF(AND('Mapa final'!$H$41="Baja",'Mapa final'!$L$41="Menor"),CONCATENATE("R",'Mapa final'!$A$41),"")</f>
        <v/>
      </c>
      <c r="U32" s="100"/>
      <c r="V32" s="165" t="str">
        <f>IF(AND('Mapa final'!$H$31="Baja",'Mapa final'!$L$31="Moderado"),CONCATENATE("R",'Mapa final'!$A$31),"")</f>
        <v/>
      </c>
      <c r="W32" s="63"/>
      <c r="X32" s="166" t="str">
        <f>IF(AND('Mapa final'!$H$36="Baja",'Mapa final'!$L$36="Moderado"),CONCATENATE("R",'Mapa final'!$A$36),"")</f>
        <v/>
      </c>
      <c r="Y32" s="63"/>
      <c r="Z32" s="166" t="str">
        <f>IF(AND('Mapa final'!$H$41="Baja",'Mapa final'!$L$41="Moderado"),CONCATENATE("R",'Mapa final'!$A$41),"")</f>
        <v/>
      </c>
      <c r="AA32" s="100"/>
      <c r="AB32" s="161" t="str">
        <f>IF(AND('Mapa final'!$H$31="Baja",'Mapa final'!$L$31="Mayor"),CONCATENATE("R",'Mapa final'!$A$31),"")</f>
        <v/>
      </c>
      <c r="AC32" s="63"/>
      <c r="AD32" s="162" t="str">
        <f>IF(AND('Mapa final'!$H$36="Baja",'Mapa final'!$L$36="Mayor"),CONCATENATE("R",'Mapa final'!$A$36),"")</f>
        <v/>
      </c>
      <c r="AE32" s="63"/>
      <c r="AF32" s="162" t="str">
        <f>IF(AND('Mapa final'!$H$41="Baja",'Mapa final'!$L$41="Mayor"),CONCATENATE("R",'Mapa final'!$A$41),"")</f>
        <v/>
      </c>
      <c r="AG32" s="100"/>
      <c r="AH32" s="173" t="str">
        <f>IF(AND('Mapa final'!$H$31="Baja",'Mapa final'!$L$31="Catastrófico"),CONCATENATE("R",'Mapa final'!$A$31),"")</f>
        <v/>
      </c>
      <c r="AI32" s="63"/>
      <c r="AJ32" s="174" t="str">
        <f>IF(AND('Mapa final'!$H$36="Baja",'Mapa final'!$L$36="Catastrófico"),CONCATENATE("R",'Mapa final'!$A$36),"")</f>
        <v/>
      </c>
      <c r="AK32" s="63"/>
      <c r="AL32" s="174" t="str">
        <f>IF(AND('Mapa final'!$H$41="Baja",'Mapa final'!$L$41="Catastrófico"),CONCATENATE("R",'Mapa final'!$A$41),"")</f>
        <v/>
      </c>
      <c r="AM32" s="100"/>
      <c r="AN32" s="64"/>
      <c r="AO32" s="149"/>
      <c r="AT32" s="150"/>
    </row>
    <row r="33" ht="15.75" customHeight="1" spans="2:46">
      <c r="B33" s="63"/>
      <c r="D33" s="100"/>
      <c r="E33" s="103"/>
      <c r="J33" s="103"/>
      <c r="K33" s="63"/>
      <c r="L33" s="63"/>
      <c r="M33" s="63"/>
      <c r="N33" s="63"/>
      <c r="O33" s="100"/>
      <c r="P33" s="63"/>
      <c r="Q33" s="63"/>
      <c r="R33" s="63"/>
      <c r="S33" s="63"/>
      <c r="T33" s="63"/>
      <c r="U33" s="100"/>
      <c r="V33" s="103"/>
      <c r="W33" s="63"/>
      <c r="X33" s="63"/>
      <c r="Y33" s="63"/>
      <c r="Z33" s="63"/>
      <c r="AA33" s="100"/>
      <c r="AB33" s="103"/>
      <c r="AC33" s="63"/>
      <c r="AD33" s="63"/>
      <c r="AE33" s="63"/>
      <c r="AF33" s="63"/>
      <c r="AG33" s="100"/>
      <c r="AH33" s="103"/>
      <c r="AI33" s="63"/>
      <c r="AJ33" s="63"/>
      <c r="AK33" s="63"/>
      <c r="AL33" s="63"/>
      <c r="AM33" s="100"/>
      <c r="AN33" s="64"/>
      <c r="AO33" s="149"/>
      <c r="AT33" s="150"/>
    </row>
    <row r="34" ht="15.75" customHeight="1" spans="2:46">
      <c r="B34" s="63"/>
      <c r="D34" s="100"/>
      <c r="E34" s="103"/>
      <c r="J34" s="169" t="e">
        <f>IF(AND('Mapa final'!#REF!="Baja",'Mapa final'!#REF!="Leve"),CONCATENATE("R",'Mapa final'!#REF!),"")</f>
        <v>#REF!</v>
      </c>
      <c r="K34" s="63"/>
      <c r="L34" s="170" t="e">
        <f>IF(AND('Mapa final'!#REF!="Baja",'Mapa final'!#REF!="Leve"),CONCATENATE("R",'Mapa final'!#REF!),"")</f>
        <v>#REF!</v>
      </c>
      <c r="M34" s="63"/>
      <c r="N34" s="170" t="e">
        <f>IF(AND('Mapa final'!#REF!="Baja",'Mapa final'!#REF!="Leve"),CONCATENATE("R",'Mapa final'!#REF!),"")</f>
        <v>#REF!</v>
      </c>
      <c r="O34" s="100"/>
      <c r="P34" s="166" t="e">
        <f>IF(AND('Mapa final'!#REF!="Baja",'Mapa final'!#REF!="Menor"),CONCATENATE("R",'Mapa final'!#REF!),"")</f>
        <v>#REF!</v>
      </c>
      <c r="Q34" s="63"/>
      <c r="R34" s="166" t="e">
        <f>IF(AND('Mapa final'!#REF!="Baja",'Mapa final'!#REF!="Menor"),CONCATENATE("R",'Mapa final'!#REF!),"")</f>
        <v>#REF!</v>
      </c>
      <c r="S34" s="63"/>
      <c r="T34" s="166" t="e">
        <f>IF(AND('Mapa final'!#REF!="Baja",'Mapa final'!#REF!="Menor"),CONCATENATE("R",'Mapa final'!#REF!),"")</f>
        <v>#REF!</v>
      </c>
      <c r="U34" s="100"/>
      <c r="V34" s="165" t="e">
        <f>IF(AND('Mapa final'!#REF!="Baja",'Mapa final'!#REF!="Moderado"),CONCATENATE("R",'Mapa final'!#REF!),"")</f>
        <v>#REF!</v>
      </c>
      <c r="W34" s="63"/>
      <c r="X34" s="166" t="e">
        <f>IF(AND('Mapa final'!#REF!="Baja",'Mapa final'!#REF!="Moderado"),CONCATENATE("R",'Mapa final'!#REF!),"")</f>
        <v>#REF!</v>
      </c>
      <c r="Y34" s="63"/>
      <c r="Z34" s="166" t="e">
        <f>IF(AND('Mapa final'!#REF!="Baja",'Mapa final'!#REF!="Moderado"),CONCATENATE("R",'Mapa final'!#REF!),"")</f>
        <v>#REF!</v>
      </c>
      <c r="AA34" s="100"/>
      <c r="AB34" s="161" t="e">
        <f>IF(AND('Mapa final'!#REF!="Baja",'Mapa final'!#REF!="Mayor"),CONCATENATE("R",'Mapa final'!#REF!),"")</f>
        <v>#REF!</v>
      </c>
      <c r="AC34" s="63"/>
      <c r="AD34" s="162" t="e">
        <f>IF(AND('Mapa final'!#REF!="Baja",'Mapa final'!#REF!="Mayor"),CONCATENATE("R",'Mapa final'!#REF!),"")</f>
        <v>#REF!</v>
      </c>
      <c r="AE34" s="63"/>
      <c r="AF34" s="162" t="e">
        <f>IF(AND('Mapa final'!#REF!="Baja",'Mapa final'!#REF!="Mayor"),CONCATENATE("R",'Mapa final'!#REF!),"")</f>
        <v>#REF!</v>
      </c>
      <c r="AG34" s="100"/>
      <c r="AH34" s="173" t="e">
        <f>IF(AND('Mapa final'!#REF!="Baja",'Mapa final'!#REF!="Catastrófico"),CONCATENATE("R",'Mapa final'!#REF!),"")</f>
        <v>#REF!</v>
      </c>
      <c r="AI34" s="63"/>
      <c r="AJ34" s="174" t="e">
        <f>IF(AND('Mapa final'!#REF!="Baja",'Mapa final'!#REF!="Catastrófico"),CONCATENATE("R",'Mapa final'!#REF!),"")</f>
        <v>#REF!</v>
      </c>
      <c r="AK34" s="63"/>
      <c r="AL34" s="174" t="e">
        <f>IF(AND('Mapa final'!#REF!="Baja",'Mapa final'!#REF!="Catastrófico"),CONCATENATE("R",'Mapa final'!#REF!),"")</f>
        <v>#REF!</v>
      </c>
      <c r="AM34" s="100"/>
      <c r="AN34" s="64"/>
      <c r="AO34" s="149"/>
      <c r="AT34" s="150"/>
    </row>
    <row r="35" ht="15.75" customHeight="1" spans="2:46">
      <c r="B35" s="63"/>
      <c r="D35" s="100"/>
      <c r="E35" s="103"/>
      <c r="J35" s="103"/>
      <c r="K35" s="63"/>
      <c r="L35" s="63"/>
      <c r="M35" s="63"/>
      <c r="N35" s="63"/>
      <c r="O35" s="100"/>
      <c r="P35" s="63"/>
      <c r="Q35" s="63"/>
      <c r="R35" s="63"/>
      <c r="S35" s="63"/>
      <c r="T35" s="63"/>
      <c r="U35" s="100"/>
      <c r="V35" s="103"/>
      <c r="W35" s="63"/>
      <c r="X35" s="63"/>
      <c r="Y35" s="63"/>
      <c r="Z35" s="63"/>
      <c r="AA35" s="100"/>
      <c r="AB35" s="103"/>
      <c r="AC35" s="63"/>
      <c r="AD35" s="63"/>
      <c r="AE35" s="63"/>
      <c r="AF35" s="63"/>
      <c r="AG35" s="100"/>
      <c r="AH35" s="103"/>
      <c r="AI35" s="63"/>
      <c r="AJ35" s="63"/>
      <c r="AK35" s="63"/>
      <c r="AL35" s="63"/>
      <c r="AM35" s="100"/>
      <c r="AN35" s="64"/>
      <c r="AO35" s="149"/>
      <c r="AT35" s="150"/>
    </row>
    <row r="36" ht="15.75" customHeight="1" spans="2:46">
      <c r="B36" s="63"/>
      <c r="D36" s="100"/>
      <c r="E36" s="103"/>
      <c r="J36" s="169" t="e">
        <f>IF(AND('Mapa final'!#REF!="Baja",'Mapa final'!#REF!="Leve"),CONCATENATE("R",'Mapa final'!#REF!),"")</f>
        <v>#REF!</v>
      </c>
      <c r="K36" s="63"/>
      <c r="L36" s="170" t="str">
        <f>IF(AND('Mapa final'!$H$46="Baja",'Mapa final'!$L$46="Leve"),CONCATENATE("R",'Mapa final'!$A$46),"")</f>
        <v/>
      </c>
      <c r="M36" s="63"/>
      <c r="N36" s="170" t="str">
        <f>IF(AND('Mapa final'!$H$52="Baja",'Mapa final'!$L$52="Leve"),CONCATENATE("R",'Mapa final'!$A$52),"")</f>
        <v/>
      </c>
      <c r="O36" s="100"/>
      <c r="P36" s="166" t="e">
        <f>IF(AND('Mapa final'!#REF!="Baja",'Mapa final'!#REF!="Menor"),CONCATENATE("R",'Mapa final'!#REF!),"")</f>
        <v>#REF!</v>
      </c>
      <c r="Q36" s="63"/>
      <c r="R36" s="166" t="str">
        <f>IF(AND('Mapa final'!$H$46="Baja",'Mapa final'!$L$46="Menor"),CONCATENATE("R",'Mapa final'!$A$46),"")</f>
        <v/>
      </c>
      <c r="S36" s="63"/>
      <c r="T36" s="166" t="str">
        <f>IF(AND('Mapa final'!$H$52="Baja",'Mapa final'!$L$52="Menor"),CONCATENATE("R",'Mapa final'!$A$52),"")</f>
        <v/>
      </c>
      <c r="U36" s="100"/>
      <c r="V36" s="165" t="e">
        <f>IF(AND('Mapa final'!#REF!="Baja",'Mapa final'!#REF!="Moderado"),CONCATENATE("R",'Mapa final'!#REF!),"")</f>
        <v>#REF!</v>
      </c>
      <c r="W36" s="63"/>
      <c r="X36" s="166" t="str">
        <f>IF(AND('Mapa final'!$H$46="Baja",'Mapa final'!$L$46="Moderado"),CONCATENATE("R",'Mapa final'!$A$46),"")</f>
        <v/>
      </c>
      <c r="Y36" s="63"/>
      <c r="Z36" s="166" t="str">
        <f>IF(AND('Mapa final'!$H$52="Baja",'Mapa final'!$L$52="Moderado"),CONCATENATE("R",'Mapa final'!$A$52),"")</f>
        <v/>
      </c>
      <c r="AA36" s="100"/>
      <c r="AB36" s="161" t="e">
        <f>IF(AND('Mapa final'!#REF!="Baja",'Mapa final'!#REF!="Mayor"),CONCATENATE("R",'Mapa final'!#REF!),"")</f>
        <v>#REF!</v>
      </c>
      <c r="AC36" s="63"/>
      <c r="AD36" s="162" t="str">
        <f>IF(AND('Mapa final'!$H$46="Baja",'Mapa final'!$L$46="Mayor"),CONCATENATE("R",'Mapa final'!$A$46),"")</f>
        <v/>
      </c>
      <c r="AE36" s="63"/>
      <c r="AF36" s="162" t="str">
        <f>IF(AND('Mapa final'!$H$52="Baja",'Mapa final'!$L$52="Mayor"),CONCATENATE("R",'Mapa final'!$A$52),"")</f>
        <v/>
      </c>
      <c r="AG36" s="100"/>
      <c r="AH36" s="173" t="e">
        <f>IF(AND('Mapa final'!#REF!="Baja",'Mapa final'!#REF!="Catastrófico"),CONCATENATE("R",'Mapa final'!#REF!),"")</f>
        <v>#REF!</v>
      </c>
      <c r="AI36" s="63"/>
      <c r="AJ36" s="174" t="str">
        <f>IF(AND('Mapa final'!$H$46="Baja",'Mapa final'!$L$46="Catastrófico"),CONCATENATE("R",'Mapa final'!$A$46),"")</f>
        <v/>
      </c>
      <c r="AK36" s="63"/>
      <c r="AL36" s="174" t="str">
        <f>IF(AND('Mapa final'!$H$52="Baja",'Mapa final'!$L$52="Catastrófico"),CONCATENATE("R",'Mapa final'!$A$52),"")</f>
        <v/>
      </c>
      <c r="AM36" s="100"/>
      <c r="AN36" s="64"/>
      <c r="AO36" s="149"/>
      <c r="AT36" s="150"/>
    </row>
    <row r="37" ht="15.75" customHeight="1" spans="2:46">
      <c r="B37" s="63"/>
      <c r="D37" s="100"/>
      <c r="E37" s="104"/>
      <c r="F37" s="105"/>
      <c r="G37" s="105"/>
      <c r="H37" s="105"/>
      <c r="I37" s="105"/>
      <c r="J37" s="104"/>
      <c r="K37" s="105"/>
      <c r="L37" s="105"/>
      <c r="M37" s="105"/>
      <c r="N37" s="105"/>
      <c r="O37" s="114"/>
      <c r="P37" s="105"/>
      <c r="Q37" s="105"/>
      <c r="R37" s="105"/>
      <c r="S37" s="105"/>
      <c r="T37" s="105"/>
      <c r="U37" s="114"/>
      <c r="V37" s="104"/>
      <c r="W37" s="105"/>
      <c r="X37" s="105"/>
      <c r="Y37" s="105"/>
      <c r="Z37" s="105"/>
      <c r="AA37" s="114"/>
      <c r="AB37" s="104"/>
      <c r="AC37" s="105"/>
      <c r="AD37" s="105"/>
      <c r="AE37" s="105"/>
      <c r="AF37" s="105"/>
      <c r="AG37" s="114"/>
      <c r="AH37" s="104"/>
      <c r="AI37" s="105"/>
      <c r="AJ37" s="105"/>
      <c r="AK37" s="105"/>
      <c r="AL37" s="105"/>
      <c r="AM37" s="114"/>
      <c r="AN37" s="64"/>
      <c r="AO37" s="151"/>
      <c r="AP37" s="152"/>
      <c r="AQ37" s="152"/>
      <c r="AR37" s="152"/>
      <c r="AS37" s="152"/>
      <c r="AT37" s="153"/>
    </row>
    <row r="38" ht="15.75" customHeight="1" spans="2:46">
      <c r="B38" s="63"/>
      <c r="D38" s="100"/>
      <c r="E38" s="158" t="s">
        <v>139</v>
      </c>
      <c r="F38" s="102"/>
      <c r="G38" s="102"/>
      <c r="H38" s="102"/>
      <c r="I38" s="107"/>
      <c r="J38" s="167" t="str">
        <f>IF(AND('Mapa final'!$H$16="Muy Baja",'Mapa final'!$L$16="Leve"),CONCATENATE("R",'Mapa final'!$A$16),"")</f>
        <v/>
      </c>
      <c r="K38" s="102"/>
      <c r="L38" s="168" t="str">
        <f>IF(AND('Mapa final'!$H$21="Muy Baja",'Mapa final'!$L$21="Leve"),CONCATENATE("R",'Mapa final'!$A$21),"")</f>
        <v/>
      </c>
      <c r="M38" s="102"/>
      <c r="N38" s="168" t="str">
        <f>IF(AND('Mapa final'!$H$26="Muy Baja",'Mapa final'!$L$26="Leve"),CONCATENATE("R",'Mapa final'!$A$26),"")</f>
        <v/>
      </c>
      <c r="O38" s="107"/>
      <c r="P38" s="167" t="str">
        <f>IF(AND('Mapa final'!$H$16="Muy Baja",'Mapa final'!$L$16="Menor"),CONCATENATE("R",'Mapa final'!$A$16),"")</f>
        <v/>
      </c>
      <c r="Q38" s="102"/>
      <c r="R38" s="168" t="str">
        <f>IF(AND('Mapa final'!$H$21="Muy Baja",'Mapa final'!$L$21="Menor"),CONCATENATE("R",'Mapa final'!$A$21),"")</f>
        <v/>
      </c>
      <c r="S38" s="102"/>
      <c r="T38" s="168" t="str">
        <f>IF(AND('Mapa final'!$H$26="Muy Baja",'Mapa final'!$L$26="Menor"),CONCATENATE("R",'Mapa final'!$A$26),"")</f>
        <v/>
      </c>
      <c r="U38" s="107"/>
      <c r="V38" s="163" t="str">
        <f>IF(AND('Mapa final'!$H$16="Muy Baja",'Mapa final'!$L$16="Moderado"),CONCATENATE("R",'Mapa final'!$A$16),"")</f>
        <v/>
      </c>
      <c r="W38" s="102"/>
      <c r="X38" s="164" t="str">
        <f>IF(AND('Mapa final'!$H$21="Muy Baja",'Mapa final'!$L$21="Moderado"),CONCATENATE("R",'Mapa final'!$A$21),"")</f>
        <v/>
      </c>
      <c r="Y38" s="102"/>
      <c r="Z38" s="164" t="str">
        <f>IF(AND('Mapa final'!$H$26="Muy Baja",'Mapa final'!$L$26="Moderado"),CONCATENATE("R",'Mapa final'!$A$26),"")</f>
        <v/>
      </c>
      <c r="AA38" s="107"/>
      <c r="AB38" s="159" t="str">
        <f>IF(AND('Mapa final'!$H$16="Muy Baja",'Mapa final'!$L$16="Mayor"),CONCATENATE("R",'Mapa final'!$A$16),"")</f>
        <v/>
      </c>
      <c r="AC38" s="102"/>
      <c r="AD38" s="160" t="str">
        <f>IF(AND('Mapa final'!$H$21="Muy Baja",'Mapa final'!$L$21="Mayor"),CONCATENATE("R",'Mapa final'!$A$21),"")</f>
        <v/>
      </c>
      <c r="AE38" s="102"/>
      <c r="AF38" s="160" t="str">
        <f>IF(AND('Mapa final'!$H$26="Muy Baja",'Mapa final'!$L$26="Mayor"),CONCATENATE("R",'Mapa final'!$A$26),"")</f>
        <v/>
      </c>
      <c r="AG38" s="107"/>
      <c r="AH38" s="171" t="str">
        <f>IF(AND('Mapa final'!$H$16="Muy Baja",'Mapa final'!$L$16="Catastrófico"),CONCATENATE("R",'Mapa final'!$A$16),"")</f>
        <v/>
      </c>
      <c r="AI38" s="102"/>
      <c r="AJ38" s="172" t="str">
        <f>IF(AND('Mapa final'!$H$21="Muy Baja",'Mapa final'!$L$21="Catastrófico"),CONCATENATE("R",'Mapa final'!$A$21),"")</f>
        <v/>
      </c>
      <c r="AK38" s="102"/>
      <c r="AL38" s="172" t="str">
        <f>IF(AND('Mapa final'!$H$26="Muy Baja",'Mapa final'!$L$26="Catastrófico"),CONCATENATE("R",'Mapa final'!$A$26),"")</f>
        <v/>
      </c>
      <c r="AM38" s="107"/>
      <c r="AN38" s="64"/>
      <c r="AO38" s="64"/>
      <c r="AP38" s="64"/>
      <c r="AQ38" s="64"/>
      <c r="AR38" s="64"/>
      <c r="AS38" s="64"/>
      <c r="AT38" s="64"/>
    </row>
    <row r="39" ht="15.75" customHeight="1" spans="2:46">
      <c r="B39" s="63"/>
      <c r="D39" s="100"/>
      <c r="E39" s="103"/>
      <c r="I39" s="100"/>
      <c r="J39" s="103"/>
      <c r="K39" s="63"/>
      <c r="L39" s="63"/>
      <c r="M39" s="63"/>
      <c r="N39" s="63"/>
      <c r="O39" s="100"/>
      <c r="P39" s="103"/>
      <c r="Q39" s="63"/>
      <c r="R39" s="63"/>
      <c r="S39" s="63"/>
      <c r="T39" s="63"/>
      <c r="U39" s="100"/>
      <c r="V39" s="103"/>
      <c r="W39" s="63"/>
      <c r="X39" s="63"/>
      <c r="Y39" s="63"/>
      <c r="Z39" s="63"/>
      <c r="AA39" s="100"/>
      <c r="AB39" s="103"/>
      <c r="AC39" s="63"/>
      <c r="AD39" s="63"/>
      <c r="AE39" s="63"/>
      <c r="AF39" s="63"/>
      <c r="AG39" s="100"/>
      <c r="AH39" s="103"/>
      <c r="AI39" s="63"/>
      <c r="AJ39" s="63"/>
      <c r="AK39" s="63"/>
      <c r="AL39" s="63"/>
      <c r="AM39" s="100"/>
      <c r="AN39" s="64"/>
      <c r="AO39" s="64"/>
      <c r="AP39" s="64"/>
      <c r="AQ39" s="64"/>
      <c r="AR39" s="64"/>
      <c r="AS39" s="64"/>
      <c r="AT39" s="64"/>
    </row>
    <row r="40" ht="15.75" customHeight="1" spans="2:46">
      <c r="B40" s="63"/>
      <c r="D40" s="100"/>
      <c r="E40" s="103"/>
      <c r="I40" s="100"/>
      <c r="J40" s="169" t="str">
        <f>IF(AND('Mapa final'!$H$31="Muy Baja",'Mapa final'!$L$31="Leve"),CONCATENATE("R",'Mapa final'!$A$31),"")</f>
        <v/>
      </c>
      <c r="K40" s="63"/>
      <c r="L40" s="170" t="str">
        <f>IF(AND('Mapa final'!$H$36="Muy Baja",'Mapa final'!$L$36="Leve"),CONCATENATE("R",'Mapa final'!$A$36),"")</f>
        <v/>
      </c>
      <c r="M40" s="63"/>
      <c r="N40" s="170" t="str">
        <f>IF(AND('Mapa final'!$H$41="Muy Baja",'Mapa final'!$L$41="Leve"),CONCATENATE("R",'Mapa final'!$A$41),"")</f>
        <v/>
      </c>
      <c r="O40" s="100"/>
      <c r="P40" s="169" t="str">
        <f>IF(AND('Mapa final'!$H$31="Muy Baja",'Mapa final'!$L$31="Menor"),CONCATENATE("R",'Mapa final'!$A$31),"")</f>
        <v/>
      </c>
      <c r="Q40" s="63"/>
      <c r="R40" s="170" t="str">
        <f>IF(AND('Mapa final'!$H$36="Muy Baja",'Mapa final'!$L$36="Menor"),CONCATENATE("R",'Mapa final'!$A$36),"")</f>
        <v/>
      </c>
      <c r="S40" s="63"/>
      <c r="T40" s="170" t="str">
        <f>IF(AND('Mapa final'!$H$41="Muy Baja",'Mapa final'!$L$41="Menor"),CONCATENATE("R",'Mapa final'!$A$41),"")</f>
        <v/>
      </c>
      <c r="U40" s="100"/>
      <c r="V40" s="165" t="str">
        <f>IF(AND('Mapa final'!$H$31="Muy Baja",'Mapa final'!$L$31="Moderado"),CONCATENATE("R",'Mapa final'!$A$31),"")</f>
        <v/>
      </c>
      <c r="W40" s="63"/>
      <c r="X40" s="166" t="str">
        <f>IF(AND('Mapa final'!$H$36="Muy Baja",'Mapa final'!$L$36="Moderado"),CONCATENATE("R",'Mapa final'!$A$36),"")</f>
        <v/>
      </c>
      <c r="Y40" s="63"/>
      <c r="Z40" s="166" t="str">
        <f>IF(AND('Mapa final'!$H$41="Muy Baja",'Mapa final'!$L$41="Moderado"),CONCATENATE("R",'Mapa final'!$A$41),"")</f>
        <v/>
      </c>
      <c r="AA40" s="100"/>
      <c r="AB40" s="161" t="str">
        <f>IF(AND('Mapa final'!$H$31="Muy Baja",'Mapa final'!$L$31="Mayor"),CONCATENATE("R",'Mapa final'!$A$31),"")</f>
        <v/>
      </c>
      <c r="AC40" s="63"/>
      <c r="AD40" s="162" t="str">
        <f>IF(AND('Mapa final'!$H$36="Muy Baja",'Mapa final'!$L$36="Mayor"),CONCATENATE("R",'Mapa final'!$A$36),"")</f>
        <v/>
      </c>
      <c r="AE40" s="63"/>
      <c r="AF40" s="162" t="str">
        <f>IF(AND('Mapa final'!$H$41="Muy Baja",'Mapa final'!$L$41="Mayor"),CONCATENATE("R",'Mapa final'!$A$41),"")</f>
        <v/>
      </c>
      <c r="AG40" s="100"/>
      <c r="AH40" s="173" t="str">
        <f>IF(AND('Mapa final'!$H$31="Muy Baja",'Mapa final'!$L$31="Catastrófico"),CONCATENATE("R",'Mapa final'!$A$31),"")</f>
        <v/>
      </c>
      <c r="AI40" s="63"/>
      <c r="AJ40" s="174" t="str">
        <f>IF(AND('Mapa final'!$H$36="Muy Baja",'Mapa final'!$L$36="Catastrófico"),CONCATENATE("R",'Mapa final'!$A$36),"")</f>
        <v/>
      </c>
      <c r="AK40" s="63"/>
      <c r="AL40" s="174" t="str">
        <f>IF(AND('Mapa final'!$H$41="Muy Baja",'Mapa final'!$L$41="Catastrófico"),CONCATENATE("R",'Mapa final'!$A$41),"")</f>
        <v/>
      </c>
      <c r="AM40" s="100"/>
      <c r="AN40" s="64"/>
      <c r="AO40" s="64"/>
      <c r="AP40" s="64"/>
      <c r="AQ40" s="64"/>
      <c r="AR40" s="64"/>
      <c r="AS40" s="64"/>
      <c r="AT40" s="64"/>
    </row>
    <row r="41" ht="15.75" customHeight="1" spans="2:46">
      <c r="B41" s="63"/>
      <c r="D41" s="100"/>
      <c r="E41" s="103"/>
      <c r="I41" s="100"/>
      <c r="J41" s="103"/>
      <c r="K41" s="63"/>
      <c r="L41" s="63"/>
      <c r="M41" s="63"/>
      <c r="N41" s="63"/>
      <c r="O41" s="100"/>
      <c r="P41" s="103"/>
      <c r="Q41" s="63"/>
      <c r="R41" s="63"/>
      <c r="S41" s="63"/>
      <c r="T41" s="63"/>
      <c r="U41" s="100"/>
      <c r="V41" s="103"/>
      <c r="W41" s="63"/>
      <c r="X41" s="63"/>
      <c r="Y41" s="63"/>
      <c r="Z41" s="63"/>
      <c r="AA41" s="100"/>
      <c r="AB41" s="103"/>
      <c r="AC41" s="63"/>
      <c r="AD41" s="63"/>
      <c r="AE41" s="63"/>
      <c r="AF41" s="63"/>
      <c r="AG41" s="100"/>
      <c r="AH41" s="103"/>
      <c r="AI41" s="63"/>
      <c r="AJ41" s="63"/>
      <c r="AK41" s="63"/>
      <c r="AL41" s="63"/>
      <c r="AM41" s="100"/>
      <c r="AN41" s="64"/>
      <c r="AO41" s="64"/>
      <c r="AP41" s="64"/>
      <c r="AQ41" s="64"/>
      <c r="AR41" s="64"/>
      <c r="AS41" s="64"/>
      <c r="AT41" s="64"/>
    </row>
    <row r="42" ht="15.75" customHeight="1" spans="2:46">
      <c r="B42" s="63"/>
      <c r="D42" s="100"/>
      <c r="E42" s="103"/>
      <c r="I42" s="100"/>
      <c r="J42" s="169" t="e">
        <f>IF(AND('Mapa final'!#REF!="Muy Baja",'Mapa final'!#REF!="Leve"),CONCATENATE("R",'Mapa final'!#REF!),"")</f>
        <v>#REF!</v>
      </c>
      <c r="K42" s="63"/>
      <c r="L42" s="170" t="e">
        <f>IF(AND('Mapa final'!#REF!="Muy Baja",'Mapa final'!#REF!="Leve"),CONCATENATE("R",'Mapa final'!#REF!),"")</f>
        <v>#REF!</v>
      </c>
      <c r="M42" s="63"/>
      <c r="N42" s="170" t="e">
        <f>IF(AND('Mapa final'!#REF!="Muy Baja",'Mapa final'!#REF!="Leve"),CONCATENATE("R",'Mapa final'!#REF!),"")</f>
        <v>#REF!</v>
      </c>
      <c r="O42" s="100"/>
      <c r="P42" s="169" t="e">
        <f>IF(AND('Mapa final'!#REF!="Muy Baja",'Mapa final'!#REF!="Menor"),CONCATENATE("R",'Mapa final'!#REF!),"")</f>
        <v>#REF!</v>
      </c>
      <c r="Q42" s="63"/>
      <c r="R42" s="170" t="e">
        <f>IF(AND('Mapa final'!#REF!="Muy Baja",'Mapa final'!#REF!="Menor"),CONCATENATE("R",'Mapa final'!#REF!),"")</f>
        <v>#REF!</v>
      </c>
      <c r="S42" s="63"/>
      <c r="T42" s="170" t="e">
        <f>IF(AND('Mapa final'!#REF!="Muy Baja",'Mapa final'!#REF!="Menor"),CONCATENATE("R",'Mapa final'!#REF!),"")</f>
        <v>#REF!</v>
      </c>
      <c r="U42" s="100"/>
      <c r="V42" s="165" t="e">
        <f>IF(AND('Mapa final'!#REF!="Muy Baja",'Mapa final'!#REF!="Moderado"),CONCATENATE("R",'Mapa final'!#REF!),"")</f>
        <v>#REF!</v>
      </c>
      <c r="W42" s="63"/>
      <c r="X42" s="166" t="e">
        <f>IF(AND('Mapa final'!#REF!="Muy Baja",'Mapa final'!#REF!="Moderado"),CONCATENATE("R",'Mapa final'!#REF!),"")</f>
        <v>#REF!</v>
      </c>
      <c r="Y42" s="63"/>
      <c r="Z42" s="166" t="e">
        <f>IF(AND('Mapa final'!#REF!="Muy Baja",'Mapa final'!#REF!="Moderado"),CONCATENATE("R",'Mapa final'!#REF!),"")</f>
        <v>#REF!</v>
      </c>
      <c r="AA42" s="100"/>
      <c r="AB42" s="161" t="e">
        <f>IF(AND('Mapa final'!#REF!="Muy Baja",'Mapa final'!#REF!="Mayor"),CONCATENATE("R",'Mapa final'!#REF!),"")</f>
        <v>#REF!</v>
      </c>
      <c r="AC42" s="63"/>
      <c r="AD42" s="162" t="e">
        <f>IF(AND('Mapa final'!#REF!="Muy Baja",'Mapa final'!#REF!="Mayor"),CONCATENATE("R",'Mapa final'!#REF!),"")</f>
        <v>#REF!</v>
      </c>
      <c r="AE42" s="63"/>
      <c r="AF42" s="162" t="e">
        <f>IF(AND('Mapa final'!#REF!="Muy Baja",'Mapa final'!#REF!="Mayor"),CONCATENATE("R",'Mapa final'!#REF!),"")</f>
        <v>#REF!</v>
      </c>
      <c r="AG42" s="100"/>
      <c r="AH42" s="173" t="e">
        <f>IF(AND('Mapa final'!#REF!="Muy Baja",'Mapa final'!#REF!="Catastrófico"),CONCATENATE("R",'Mapa final'!#REF!),"")</f>
        <v>#REF!</v>
      </c>
      <c r="AI42" s="63"/>
      <c r="AJ42" s="174" t="e">
        <f>IF(AND('Mapa final'!#REF!="Muy Baja",'Mapa final'!#REF!="Catastrófico"),CONCATENATE("R",'Mapa final'!#REF!),"")</f>
        <v>#REF!</v>
      </c>
      <c r="AK42" s="63"/>
      <c r="AL42" s="174" t="e">
        <f>IF(AND('Mapa final'!#REF!="Muy Baja",'Mapa final'!#REF!="Catastrófico"),CONCATENATE("R",'Mapa final'!#REF!),"")</f>
        <v>#REF!</v>
      </c>
      <c r="AM42" s="100"/>
      <c r="AN42" s="64"/>
      <c r="AO42" s="64"/>
      <c r="AP42" s="64"/>
      <c r="AQ42" s="64"/>
      <c r="AR42" s="64"/>
      <c r="AS42" s="64"/>
      <c r="AT42" s="64"/>
    </row>
    <row r="43" ht="15.75" customHeight="1" spans="2:46">
      <c r="B43" s="63"/>
      <c r="D43" s="100"/>
      <c r="E43" s="103"/>
      <c r="I43" s="100"/>
      <c r="J43" s="103"/>
      <c r="K43" s="63"/>
      <c r="L43" s="63"/>
      <c r="M43" s="63"/>
      <c r="N43" s="63"/>
      <c r="O43" s="100"/>
      <c r="P43" s="103"/>
      <c r="Q43" s="63"/>
      <c r="R43" s="63"/>
      <c r="S43" s="63"/>
      <c r="T43" s="63"/>
      <c r="U43" s="100"/>
      <c r="V43" s="103"/>
      <c r="W43" s="63"/>
      <c r="X43" s="63"/>
      <c r="Y43" s="63"/>
      <c r="Z43" s="63"/>
      <c r="AA43" s="100"/>
      <c r="AB43" s="103"/>
      <c r="AC43" s="63"/>
      <c r="AD43" s="63"/>
      <c r="AE43" s="63"/>
      <c r="AF43" s="63"/>
      <c r="AG43" s="100"/>
      <c r="AH43" s="103"/>
      <c r="AI43" s="63"/>
      <c r="AJ43" s="63"/>
      <c r="AK43" s="63"/>
      <c r="AL43" s="63"/>
      <c r="AM43" s="100"/>
      <c r="AN43" s="64"/>
      <c r="AO43" s="64"/>
      <c r="AP43" s="64"/>
      <c r="AQ43" s="64"/>
      <c r="AR43" s="64"/>
      <c r="AS43" s="64"/>
      <c r="AT43" s="64"/>
    </row>
    <row r="44" ht="15.75" customHeight="1" spans="2:46">
      <c r="B44" s="63"/>
      <c r="D44" s="100"/>
      <c r="E44" s="103"/>
      <c r="I44" s="100"/>
      <c r="J44" s="169" t="e">
        <f>IF(AND('Mapa final'!#REF!="Muy Baja",'Mapa final'!#REF!="Leve"),CONCATENATE("R",'Mapa final'!#REF!),"")</f>
        <v>#REF!</v>
      </c>
      <c r="K44" s="63"/>
      <c r="L44" s="170" t="str">
        <f>IF(AND('Mapa final'!$H$46="Muy Baja",'Mapa final'!$L$46="Leve"),CONCATENATE("R",'Mapa final'!$A$46),"")</f>
        <v/>
      </c>
      <c r="M44" s="63"/>
      <c r="N44" s="170" t="str">
        <f>IF(AND('Mapa final'!$H$52="Muy Baja",'Mapa final'!$L$52="Leve"),CONCATENATE("R",'Mapa final'!$A$52),"")</f>
        <v/>
      </c>
      <c r="O44" s="100"/>
      <c r="P44" s="169" t="e">
        <f>IF(AND('Mapa final'!#REF!="Muy Baja",'Mapa final'!#REF!="Menor"),CONCATENATE("R",'Mapa final'!#REF!),"")</f>
        <v>#REF!</v>
      </c>
      <c r="Q44" s="63"/>
      <c r="R44" s="170" t="str">
        <f>IF(AND('Mapa final'!$H$46="Muy Baja",'Mapa final'!$L$46="Menor"),CONCATENATE("R",'Mapa final'!$A$46),"")</f>
        <v/>
      </c>
      <c r="S44" s="63"/>
      <c r="T44" s="170" t="str">
        <f>IF(AND('Mapa final'!$H$52="Muy Baja",'Mapa final'!$L$52="Menor"),CONCATENATE("R",'Mapa final'!$A$52),"")</f>
        <v/>
      </c>
      <c r="U44" s="100"/>
      <c r="V44" s="165" t="e">
        <f>IF(AND('Mapa final'!#REF!="Muy Baja",'Mapa final'!#REF!="Moderado"),CONCATENATE("R",'Mapa final'!#REF!),"")</f>
        <v>#REF!</v>
      </c>
      <c r="W44" s="63"/>
      <c r="X44" s="166" t="str">
        <f>IF(AND('Mapa final'!$H$46="Muy Baja",'Mapa final'!$L$46="Moderado"),CONCATENATE("R",'Mapa final'!$A$46),"")</f>
        <v/>
      </c>
      <c r="Y44" s="63"/>
      <c r="Z44" s="166" t="str">
        <f>IF(AND('Mapa final'!$H$52="Muy Baja",'Mapa final'!$L$52="Moderado"),CONCATENATE("R",'Mapa final'!$A$52),"")</f>
        <v/>
      </c>
      <c r="AA44" s="100"/>
      <c r="AB44" s="161" t="e">
        <f>IF(AND('Mapa final'!#REF!="Muy Baja",'Mapa final'!#REF!="Mayor"),CONCATENATE("R",'Mapa final'!#REF!),"")</f>
        <v>#REF!</v>
      </c>
      <c r="AC44" s="63"/>
      <c r="AD44" s="162" t="str">
        <f>IF(AND('Mapa final'!$H$46="Muy Baja",'Mapa final'!$L$46="Mayor"),CONCATENATE("R",'Mapa final'!$A$46),"")</f>
        <v/>
      </c>
      <c r="AE44" s="63"/>
      <c r="AF44" s="162" t="str">
        <f>IF(AND('Mapa final'!$H$52="Muy Baja",'Mapa final'!$L$52="Mayor"),CONCATENATE("R",'Mapa final'!$A$52),"")</f>
        <v/>
      </c>
      <c r="AG44" s="100"/>
      <c r="AH44" s="173" t="e">
        <f>IF(AND('Mapa final'!#REF!="Muy Baja",'Mapa final'!#REF!="Catastrófico"),CONCATENATE("R",'Mapa final'!#REF!),"")</f>
        <v>#REF!</v>
      </c>
      <c r="AI44" s="63"/>
      <c r="AJ44" s="174" t="str">
        <f>IF(AND('Mapa final'!$H$46="Muy Baja",'Mapa final'!$L$46="Catastrófico"),CONCATENATE("R",'Mapa final'!$A$46),"")</f>
        <v/>
      </c>
      <c r="AK44" s="63"/>
      <c r="AL44" s="174" t="str">
        <f>IF(AND('Mapa final'!$H$52="Muy Baja",'Mapa final'!$L$52="Catastrófico"),CONCATENATE("R",'Mapa final'!$A$52),"")</f>
        <v/>
      </c>
      <c r="AM44" s="100"/>
      <c r="AN44" s="64"/>
      <c r="AO44" s="64"/>
      <c r="AP44" s="64"/>
      <c r="AQ44" s="64"/>
      <c r="AR44" s="64"/>
      <c r="AS44" s="64"/>
      <c r="AT44" s="64"/>
    </row>
    <row r="45" ht="15.75" customHeight="1" spans="2:46">
      <c r="B45" s="63"/>
      <c r="C45" s="63"/>
      <c r="D45" s="100"/>
      <c r="E45" s="104"/>
      <c r="F45" s="105"/>
      <c r="G45" s="105"/>
      <c r="H45" s="105"/>
      <c r="I45" s="114"/>
      <c r="J45" s="104"/>
      <c r="K45" s="105"/>
      <c r="L45" s="105"/>
      <c r="M45" s="105"/>
      <c r="N45" s="105"/>
      <c r="O45" s="114"/>
      <c r="P45" s="104"/>
      <c r="Q45" s="105"/>
      <c r="R45" s="105"/>
      <c r="S45" s="105"/>
      <c r="T45" s="105"/>
      <c r="U45" s="114"/>
      <c r="V45" s="104"/>
      <c r="W45" s="105"/>
      <c r="X45" s="105"/>
      <c r="Y45" s="105"/>
      <c r="Z45" s="105"/>
      <c r="AA45" s="114"/>
      <c r="AB45" s="104"/>
      <c r="AC45" s="105"/>
      <c r="AD45" s="105"/>
      <c r="AE45" s="105"/>
      <c r="AF45" s="105"/>
      <c r="AG45" s="114"/>
      <c r="AH45" s="104"/>
      <c r="AI45" s="105"/>
      <c r="AJ45" s="105"/>
      <c r="AK45" s="105"/>
      <c r="AL45" s="105"/>
      <c r="AM45" s="114"/>
      <c r="AN45" s="64"/>
      <c r="AO45" s="64"/>
      <c r="AP45" s="64"/>
      <c r="AQ45" s="64"/>
      <c r="AR45" s="64"/>
      <c r="AS45" s="64"/>
      <c r="AT45" s="64"/>
    </row>
    <row r="46" ht="15.75" customHeight="1" spans="2:46">
      <c r="B46" s="64"/>
      <c r="C46" s="64"/>
      <c r="D46" s="64"/>
      <c r="E46" s="64"/>
      <c r="F46" s="64"/>
      <c r="G46" s="64"/>
      <c r="H46" s="64"/>
      <c r="I46" s="64"/>
      <c r="J46" s="158" t="s">
        <v>140</v>
      </c>
      <c r="K46" s="102"/>
      <c r="L46" s="102"/>
      <c r="M46" s="102"/>
      <c r="N46" s="102"/>
      <c r="O46" s="107"/>
      <c r="P46" s="158" t="s">
        <v>141</v>
      </c>
      <c r="Q46" s="102"/>
      <c r="R46" s="102"/>
      <c r="S46" s="102"/>
      <c r="T46" s="102"/>
      <c r="U46" s="107"/>
      <c r="V46" s="158" t="s">
        <v>142</v>
      </c>
      <c r="W46" s="102"/>
      <c r="X46" s="102"/>
      <c r="Y46" s="102"/>
      <c r="Z46" s="102"/>
      <c r="AA46" s="107"/>
      <c r="AB46" s="158" t="s">
        <v>143</v>
      </c>
      <c r="AC46" s="102"/>
      <c r="AD46" s="102"/>
      <c r="AE46" s="102"/>
      <c r="AF46" s="102"/>
      <c r="AG46" s="107"/>
      <c r="AH46" s="158" t="s">
        <v>144</v>
      </c>
      <c r="AI46" s="102"/>
      <c r="AJ46" s="102"/>
      <c r="AK46" s="102"/>
      <c r="AL46" s="102"/>
      <c r="AM46" s="107"/>
      <c r="AN46" s="64"/>
      <c r="AO46" s="64"/>
      <c r="AP46" s="64"/>
      <c r="AQ46" s="64"/>
      <c r="AR46" s="64"/>
      <c r="AS46" s="64"/>
      <c r="AT46" s="64"/>
    </row>
    <row r="47" ht="15.75" customHeight="1" spans="2:46">
      <c r="B47" s="64"/>
      <c r="C47" s="64"/>
      <c r="D47" s="64"/>
      <c r="E47" s="64"/>
      <c r="F47" s="64"/>
      <c r="G47" s="64"/>
      <c r="H47" s="64"/>
      <c r="I47" s="64"/>
      <c r="J47" s="103"/>
      <c r="O47" s="100"/>
      <c r="P47" s="103"/>
      <c r="U47" s="100"/>
      <c r="V47" s="103"/>
      <c r="AA47" s="100"/>
      <c r="AB47" s="103"/>
      <c r="AG47" s="100"/>
      <c r="AH47" s="103"/>
      <c r="AM47" s="100"/>
      <c r="AN47" s="64"/>
      <c r="AO47" s="64"/>
      <c r="AP47" s="64"/>
      <c r="AQ47" s="64"/>
      <c r="AR47" s="64"/>
      <c r="AS47" s="64"/>
      <c r="AT47" s="64"/>
    </row>
    <row r="48" ht="15.75" customHeight="1" spans="2:46">
      <c r="B48" s="64"/>
      <c r="C48" s="64"/>
      <c r="D48" s="64"/>
      <c r="E48" s="64"/>
      <c r="F48" s="64"/>
      <c r="G48" s="64"/>
      <c r="H48" s="64"/>
      <c r="I48" s="64"/>
      <c r="J48" s="103"/>
      <c r="O48" s="100"/>
      <c r="P48" s="103"/>
      <c r="U48" s="100"/>
      <c r="V48" s="103"/>
      <c r="AA48" s="100"/>
      <c r="AB48" s="103"/>
      <c r="AG48" s="100"/>
      <c r="AH48" s="103"/>
      <c r="AM48" s="100"/>
      <c r="AN48" s="64"/>
      <c r="AO48" s="64"/>
      <c r="AP48" s="64"/>
      <c r="AQ48" s="64"/>
      <c r="AR48" s="64"/>
      <c r="AS48" s="64"/>
      <c r="AT48" s="64"/>
    </row>
    <row r="49" ht="15.75" customHeight="1" spans="2:39">
      <c r="B49" s="64"/>
      <c r="C49" s="64"/>
      <c r="D49" s="64"/>
      <c r="E49" s="64"/>
      <c r="F49" s="64"/>
      <c r="G49" s="64"/>
      <c r="H49" s="64"/>
      <c r="I49" s="64"/>
      <c r="J49" s="103"/>
      <c r="O49" s="100"/>
      <c r="P49" s="103"/>
      <c r="U49" s="100"/>
      <c r="V49" s="103"/>
      <c r="AA49" s="100"/>
      <c r="AB49" s="103"/>
      <c r="AG49" s="100"/>
      <c r="AH49" s="103"/>
      <c r="AM49" s="100"/>
    </row>
    <row r="50" ht="15.75" customHeight="1" spans="2:39">
      <c r="B50" s="64"/>
      <c r="C50" s="64"/>
      <c r="D50" s="64"/>
      <c r="E50" s="64"/>
      <c r="F50" s="64"/>
      <c r="G50" s="64"/>
      <c r="H50" s="64"/>
      <c r="I50" s="64"/>
      <c r="J50" s="103"/>
      <c r="O50" s="100"/>
      <c r="P50" s="103"/>
      <c r="U50" s="100"/>
      <c r="V50" s="103"/>
      <c r="AA50" s="100"/>
      <c r="AB50" s="103"/>
      <c r="AG50" s="100"/>
      <c r="AH50" s="103"/>
      <c r="AM50" s="100"/>
    </row>
    <row r="51" ht="15.75" customHeight="1" spans="2:39">
      <c r="B51" s="64"/>
      <c r="C51" s="64"/>
      <c r="D51" s="64"/>
      <c r="E51" s="64"/>
      <c r="F51" s="64"/>
      <c r="G51" s="64"/>
      <c r="H51" s="64"/>
      <c r="I51" s="64"/>
      <c r="J51" s="104"/>
      <c r="K51" s="105"/>
      <c r="L51" s="105"/>
      <c r="M51" s="105"/>
      <c r="N51" s="105"/>
      <c r="O51" s="114"/>
      <c r="P51" s="104"/>
      <c r="Q51" s="105"/>
      <c r="R51" s="105"/>
      <c r="S51" s="105"/>
      <c r="T51" s="105"/>
      <c r="U51" s="114"/>
      <c r="V51" s="104"/>
      <c r="W51" s="105"/>
      <c r="X51" s="105"/>
      <c r="Y51" s="105"/>
      <c r="Z51" s="105"/>
      <c r="AA51" s="114"/>
      <c r="AB51" s="104"/>
      <c r="AC51" s="105"/>
      <c r="AD51" s="105"/>
      <c r="AE51" s="105"/>
      <c r="AF51" s="105"/>
      <c r="AG51" s="114"/>
      <c r="AH51" s="104"/>
      <c r="AI51" s="105"/>
      <c r="AJ51" s="105"/>
      <c r="AK51" s="105"/>
      <c r="AL51" s="105"/>
      <c r="AM51" s="114"/>
    </row>
  </sheetData>
  <mergeCells count="317">
    <mergeCell ref="J46:O51"/>
    <mergeCell ref="P46:U51"/>
    <mergeCell ref="V46:AA51"/>
    <mergeCell ref="AB46:AG51"/>
    <mergeCell ref="AH46:AM51"/>
    <mergeCell ref="E14:I21"/>
    <mergeCell ref="E22:I29"/>
    <mergeCell ref="J26:K27"/>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B2:I4"/>
    <mergeCell ref="J2:AM4"/>
    <mergeCell ref="B6:D45"/>
    <mergeCell ref="E6:I13"/>
    <mergeCell ref="J22:K23"/>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J44:K45"/>
    <mergeCell ref="L44:M45"/>
    <mergeCell ref="N44:O45"/>
    <mergeCell ref="P44:Q45"/>
    <mergeCell ref="R44:S45"/>
    <mergeCell ref="T44:U45"/>
    <mergeCell ref="V44:W45"/>
    <mergeCell ref="X44:Y45"/>
    <mergeCell ref="Z44:AA45"/>
    <mergeCell ref="AB44:AC45"/>
    <mergeCell ref="AD44:AE45"/>
    <mergeCell ref="AF44:AG45"/>
    <mergeCell ref="AH44:AI45"/>
    <mergeCell ref="AJ44:AK45"/>
    <mergeCell ref="AL44:AM45"/>
    <mergeCell ref="J42:K43"/>
    <mergeCell ref="L42:M43"/>
    <mergeCell ref="N42:O43"/>
    <mergeCell ref="P42:Q43"/>
    <mergeCell ref="R42:S43"/>
    <mergeCell ref="T42:U43"/>
    <mergeCell ref="V42:W43"/>
    <mergeCell ref="X42:Y43"/>
    <mergeCell ref="Z42:AA43"/>
    <mergeCell ref="AB42:AC43"/>
    <mergeCell ref="AD42:AE43"/>
    <mergeCell ref="AF42:AG43"/>
    <mergeCell ref="AH42:AI43"/>
    <mergeCell ref="AJ42:AK43"/>
    <mergeCell ref="AL42:AM43"/>
    <mergeCell ref="J38:K39"/>
    <mergeCell ref="L38:M39"/>
    <mergeCell ref="N38:O39"/>
    <mergeCell ref="P38:Q39"/>
    <mergeCell ref="R38:S39"/>
    <mergeCell ref="T38:U39"/>
    <mergeCell ref="V38:W39"/>
    <mergeCell ref="X38:Y39"/>
    <mergeCell ref="Z38:AA39"/>
    <mergeCell ref="AB38:AC39"/>
    <mergeCell ref="AD38:AE39"/>
    <mergeCell ref="AF38:AG39"/>
    <mergeCell ref="AH38:AI39"/>
    <mergeCell ref="AJ38:AK39"/>
    <mergeCell ref="AL38:AM39"/>
    <mergeCell ref="E38:I45"/>
    <mergeCell ref="J40:K41"/>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AO6:AT13"/>
    <mergeCell ref="E30:I37"/>
    <mergeCell ref="J30:K31"/>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J32:K33"/>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AO30:AT37"/>
    <mergeCell ref="AO14:AT21"/>
    <mergeCell ref="AO22:AT29"/>
    <mergeCell ref="J34:K35"/>
    <mergeCell ref="L34:M35"/>
    <mergeCell ref="N34:O35"/>
    <mergeCell ref="P34:Q35"/>
    <mergeCell ref="R34:S35"/>
    <mergeCell ref="T34:U35"/>
    <mergeCell ref="V34:W35"/>
    <mergeCell ref="X34:Y35"/>
    <mergeCell ref="Z34:AA35"/>
    <mergeCell ref="AB34:AC35"/>
    <mergeCell ref="AD34:AE35"/>
    <mergeCell ref="AF34:AG35"/>
    <mergeCell ref="AH34:AI35"/>
    <mergeCell ref="AJ34:AK35"/>
    <mergeCell ref="AL34:AM35"/>
    <mergeCell ref="J20:K21"/>
    <mergeCell ref="L20:M21"/>
    <mergeCell ref="N20:O21"/>
    <mergeCell ref="P20:Q21"/>
    <mergeCell ref="R20:S21"/>
    <mergeCell ref="T20:U21"/>
    <mergeCell ref="V20:W21"/>
    <mergeCell ref="X20:Y21"/>
    <mergeCell ref="Z20:AA21"/>
    <mergeCell ref="AB20:AC21"/>
    <mergeCell ref="AD20:AE21"/>
    <mergeCell ref="AF20:AG21"/>
    <mergeCell ref="AH20:AI21"/>
    <mergeCell ref="AJ20:AK21"/>
    <mergeCell ref="AL20:AM21"/>
    <mergeCell ref="J28:K29"/>
    <mergeCell ref="L28:M29"/>
    <mergeCell ref="N28:O29"/>
    <mergeCell ref="P28:Q29"/>
    <mergeCell ref="R28:S29"/>
    <mergeCell ref="T28:U29"/>
    <mergeCell ref="V28:W29"/>
    <mergeCell ref="X28:Y29"/>
    <mergeCell ref="Z28:AA29"/>
    <mergeCell ref="AB28:AC29"/>
    <mergeCell ref="AD28:AE29"/>
    <mergeCell ref="AF28:AG29"/>
    <mergeCell ref="AH28:AI29"/>
    <mergeCell ref="AJ28:AK29"/>
    <mergeCell ref="AL28:AM29"/>
    <mergeCell ref="J16:K17"/>
    <mergeCell ref="L16:M17"/>
    <mergeCell ref="N16:O17"/>
    <mergeCell ref="P16:Q17"/>
    <mergeCell ref="R16:S17"/>
    <mergeCell ref="T16:U17"/>
    <mergeCell ref="V16:W17"/>
    <mergeCell ref="X16:Y17"/>
    <mergeCell ref="Z16:AA17"/>
    <mergeCell ref="AB16:AC17"/>
    <mergeCell ref="AD16:AE17"/>
    <mergeCell ref="AF16:AG17"/>
    <mergeCell ref="AH16:AI17"/>
    <mergeCell ref="AJ16:AK17"/>
    <mergeCell ref="AL16:AM17"/>
    <mergeCell ref="J36:K37"/>
    <mergeCell ref="L36:M37"/>
    <mergeCell ref="N36:O37"/>
    <mergeCell ref="P36:Q37"/>
    <mergeCell ref="R36:S37"/>
    <mergeCell ref="T36:U37"/>
    <mergeCell ref="V36:W37"/>
    <mergeCell ref="X36:Y37"/>
    <mergeCell ref="Z36:AA37"/>
    <mergeCell ref="AB36:AC37"/>
    <mergeCell ref="AD36:AE37"/>
    <mergeCell ref="AF36:AG37"/>
    <mergeCell ref="AH36:AI37"/>
    <mergeCell ref="AJ36:AK37"/>
    <mergeCell ref="AL36:AM37"/>
    <mergeCell ref="J24:K25"/>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J14:K15"/>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J18:K19"/>
    <mergeCell ref="L18:M19"/>
    <mergeCell ref="N18:O19"/>
    <mergeCell ref="P18:Q19"/>
    <mergeCell ref="R18:S19"/>
    <mergeCell ref="T18:U19"/>
    <mergeCell ref="V18:W19"/>
    <mergeCell ref="X18:Y19"/>
    <mergeCell ref="Z18:AA19"/>
    <mergeCell ref="AB18:AC19"/>
    <mergeCell ref="AD18:AE19"/>
    <mergeCell ref="AF18:AG19"/>
    <mergeCell ref="AH18:AI19"/>
    <mergeCell ref="AJ18:AK19"/>
    <mergeCell ref="AL18:AM19"/>
    <mergeCell ref="J6:K7"/>
    <mergeCell ref="L6:M7"/>
    <mergeCell ref="N6:O7"/>
    <mergeCell ref="P6:Q7"/>
    <mergeCell ref="R6:S7"/>
    <mergeCell ref="T6:U7"/>
    <mergeCell ref="V6:W7"/>
    <mergeCell ref="X6:Y7"/>
    <mergeCell ref="Z6:AA7"/>
    <mergeCell ref="AB6:AC7"/>
    <mergeCell ref="AD6:AE7"/>
    <mergeCell ref="AF6:AG7"/>
    <mergeCell ref="AH6:AI7"/>
    <mergeCell ref="AJ6:AK7"/>
    <mergeCell ref="AL6:AM7"/>
    <mergeCell ref="J12:K13"/>
    <mergeCell ref="L12:M13"/>
    <mergeCell ref="N12:O13"/>
    <mergeCell ref="P12:Q13"/>
    <mergeCell ref="R12:S13"/>
    <mergeCell ref="T12:U13"/>
    <mergeCell ref="V12:W13"/>
    <mergeCell ref="X12:Y13"/>
    <mergeCell ref="Z12:AA13"/>
    <mergeCell ref="AB12:AC13"/>
    <mergeCell ref="AD12:AE13"/>
    <mergeCell ref="AF12:AG13"/>
    <mergeCell ref="AH12:AI13"/>
    <mergeCell ref="AJ12:AK13"/>
    <mergeCell ref="AL12:AM13"/>
    <mergeCell ref="J8:K9"/>
    <mergeCell ref="L8:M9"/>
    <mergeCell ref="N8:O9"/>
    <mergeCell ref="P8:Q9"/>
    <mergeCell ref="R8:S9"/>
    <mergeCell ref="T8:U9"/>
    <mergeCell ref="V8:W9"/>
    <mergeCell ref="X8:Y9"/>
    <mergeCell ref="Z8:AA9"/>
    <mergeCell ref="AB8:AC9"/>
    <mergeCell ref="AD8:AE9"/>
    <mergeCell ref="AF8:AG9"/>
    <mergeCell ref="AH8:AI9"/>
    <mergeCell ref="AJ8:AK9"/>
    <mergeCell ref="AL8:AM9"/>
    <mergeCell ref="J10:K11"/>
    <mergeCell ref="L10:M11"/>
    <mergeCell ref="N10:O11"/>
    <mergeCell ref="P10:Q11"/>
    <mergeCell ref="R10:S11"/>
    <mergeCell ref="T10:U11"/>
    <mergeCell ref="V10:W11"/>
    <mergeCell ref="X10:Y11"/>
    <mergeCell ref="Z10:AA11"/>
    <mergeCell ref="AB10:AC11"/>
    <mergeCell ref="AD10:AE11"/>
    <mergeCell ref="AF10:AG11"/>
    <mergeCell ref="AH10:AI11"/>
    <mergeCell ref="AJ10:AK11"/>
    <mergeCell ref="AL10:AM11"/>
  </mergeCells>
  <pageMargins left="0.7" right="0.7" top="0.75" bottom="0.75" header="0" footer="0"/>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AT61"/>
  <sheetViews>
    <sheetView zoomScale="50" zoomScaleNormal="50" topLeftCell="A21" workbookViewId="0">
      <selection activeCell="T46" sqref="T46"/>
    </sheetView>
  </sheetViews>
  <sheetFormatPr defaultColWidth="12.625" defaultRowHeight="15" customHeight="1"/>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2" ht="18" customHeight="1" spans="2:46">
      <c r="B2" s="98" t="s">
        <v>145</v>
      </c>
      <c r="J2" s="106" t="s">
        <v>23</v>
      </c>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4"/>
      <c r="AO2" s="64"/>
      <c r="AP2" s="64"/>
      <c r="AQ2" s="64"/>
      <c r="AR2" s="64"/>
      <c r="AS2" s="64"/>
      <c r="AT2" s="64"/>
    </row>
    <row r="3" ht="18.75" customHeight="1" spans="10:46">
      <c r="J3" s="63"/>
      <c r="AM3" s="63"/>
      <c r="AN3" s="64"/>
      <c r="AO3" s="64"/>
      <c r="AP3" s="64"/>
      <c r="AQ3" s="64"/>
      <c r="AR3" s="64"/>
      <c r="AS3" s="64"/>
      <c r="AT3" s="64"/>
    </row>
    <row r="4" customHeight="1" spans="10:46">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4"/>
      <c r="AO4" s="64"/>
      <c r="AP4" s="64"/>
      <c r="AQ4" s="64"/>
      <c r="AR4" s="64"/>
      <c r="AS4" s="64"/>
      <c r="AT4" s="64"/>
    </row>
    <row r="5" ht="15.75" spans="2:46">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row>
    <row r="6" customHeight="1" spans="2:46">
      <c r="B6" s="99" t="s">
        <v>130</v>
      </c>
      <c r="C6" s="63"/>
      <c r="D6" s="100"/>
      <c r="E6" s="101" t="s">
        <v>131</v>
      </c>
      <c r="F6" s="102"/>
      <c r="G6" s="102"/>
      <c r="H6" s="102"/>
      <c r="I6" s="107"/>
      <c r="J6" s="108" t="str">
        <f>IF(AND('Mapa final'!$Y$16="Muy Alta",'Mapa final'!$AA$16="Leve"),CONCATENATE("R1C",'Mapa final'!$O$16),"")</f>
        <v/>
      </c>
      <c r="K6" s="109" t="str">
        <f>IF(AND('Mapa final'!$Y$17="Muy Alta",'Mapa final'!$AA$17="Leve"),CONCATENATE("R1C",'Mapa final'!$O$17),"")</f>
        <v/>
      </c>
      <c r="L6" s="109" t="str">
        <f>IF(AND('Mapa final'!$Y$18="Muy Alta",'Mapa final'!$AA$18="Leve"),CONCATENATE("R1C",'Mapa final'!$O$18),"")</f>
        <v/>
      </c>
      <c r="M6" s="109" t="e">
        <f>IF(AND('Mapa final'!#REF!="Muy Alta",'Mapa final'!#REF!="Leve"),CONCATENATE("R1C",'Mapa final'!#REF!),"")</f>
        <v>#REF!</v>
      </c>
      <c r="N6" s="109" t="e">
        <f>IF(AND('Mapa final'!#REF!="Muy Alta",'Mapa final'!#REF!="Leve"),CONCATENATE("R1C",'Mapa final'!#REF!),"")</f>
        <v>#REF!</v>
      </c>
      <c r="O6" s="110" t="e">
        <f>IF(AND('Mapa final'!#REF!="Muy Alta",'Mapa final'!#REF!="Leve"),CONCATENATE("R1C",'Mapa final'!#REF!),"")</f>
        <v>#REF!</v>
      </c>
      <c r="P6" s="108" t="str">
        <f>IF(AND('Mapa final'!$Y$16="Muy Alta",'Mapa final'!$AA$16="Menor"),CONCATENATE("R1C",'Mapa final'!$O$16),"")</f>
        <v/>
      </c>
      <c r="Q6" s="109" t="str">
        <f>IF(AND('Mapa final'!$Y$17="Muy Alta",'Mapa final'!$AA$17="Menor"),CONCATENATE("R1C",'Mapa final'!$O$17),"")</f>
        <v/>
      </c>
      <c r="R6" s="109" t="str">
        <f>IF(AND('Mapa final'!$Y$18="Muy Alta",'Mapa final'!$AA$18="Menor"),CONCATENATE("R1C",'Mapa final'!$O$18),"")</f>
        <v/>
      </c>
      <c r="S6" s="109" t="e">
        <f>IF(AND('Mapa final'!#REF!="Muy Alta",'Mapa final'!#REF!="Menor"),CONCATENATE("R1C",'Mapa final'!#REF!),"")</f>
        <v>#REF!</v>
      </c>
      <c r="T6" s="109" t="e">
        <f>IF(AND('Mapa final'!#REF!="Muy Alta",'Mapa final'!#REF!="Menor"),CONCATENATE("R1C",'Mapa final'!#REF!),"")</f>
        <v>#REF!</v>
      </c>
      <c r="U6" s="110" t="e">
        <f>IF(AND('Mapa final'!#REF!="Muy Alta",'Mapa final'!#REF!="Menor"),CONCATENATE("R1C",'Mapa final'!#REF!),"")</f>
        <v>#REF!</v>
      </c>
      <c r="V6" s="108" t="str">
        <f>IF(AND('Mapa final'!$Y$16="Muy Alta",'Mapa final'!$AA$16="Moderado"),CONCATENATE("R1C",'Mapa final'!$O$16),"")</f>
        <v/>
      </c>
      <c r="W6" s="109" t="str">
        <f>IF(AND('Mapa final'!$Y$17="Muy Alta",'Mapa final'!$AA$17="Moderado"),CONCATENATE("R1C",'Mapa final'!$O$17),"")</f>
        <v/>
      </c>
      <c r="X6" s="109" t="str">
        <f>IF(AND('Mapa final'!$Y$18="Muy Alta",'Mapa final'!$AA$18="Moderado"),CONCATENATE("R1C",'Mapa final'!$O$18),"")</f>
        <v/>
      </c>
      <c r="Y6" s="109" t="e">
        <f>IF(AND('Mapa final'!#REF!="Muy Alta",'Mapa final'!#REF!="Moderado"),CONCATENATE("R1C",'Mapa final'!#REF!),"")</f>
        <v>#REF!</v>
      </c>
      <c r="Z6" s="109" t="e">
        <f>IF(AND('Mapa final'!#REF!="Muy Alta",'Mapa final'!#REF!="Moderado"),CONCATENATE("R1C",'Mapa final'!#REF!),"")</f>
        <v>#REF!</v>
      </c>
      <c r="AA6" s="110" t="e">
        <f>IF(AND('Mapa final'!#REF!="Muy Alta",'Mapa final'!#REF!="Moderado"),CONCATENATE("R1C",'Mapa final'!#REF!),"")</f>
        <v>#REF!</v>
      </c>
      <c r="AB6" s="108" t="str">
        <f>IF(AND('Mapa final'!$Y$16="Muy Alta",'Mapa final'!$AA$16="Mayor"),CONCATENATE("R1C",'Mapa final'!$O$16),"")</f>
        <v/>
      </c>
      <c r="AC6" s="109" t="str">
        <f>IF(AND('Mapa final'!$Y$17="Muy Alta",'Mapa final'!$AA$17="Mayor"),CONCATENATE("R1C",'Mapa final'!$O$17),"")</f>
        <v/>
      </c>
      <c r="AD6" s="109" t="str">
        <f>IF(AND('Mapa final'!$Y$18="Muy Alta",'Mapa final'!$AA$18="Mayor"),CONCATENATE("R1C",'Mapa final'!$O$18),"")</f>
        <v/>
      </c>
      <c r="AE6" s="109" t="e">
        <f>IF(AND('Mapa final'!#REF!="Muy Alta",'Mapa final'!#REF!="Mayor"),CONCATENATE("R1C",'Mapa final'!#REF!),"")</f>
        <v>#REF!</v>
      </c>
      <c r="AF6" s="109" t="e">
        <f>IF(AND('Mapa final'!#REF!="Muy Alta",'Mapa final'!#REF!="Mayor"),CONCATENATE("R1C",'Mapa final'!#REF!),"")</f>
        <v>#REF!</v>
      </c>
      <c r="AG6" s="110" t="e">
        <f>IF(AND('Mapa final'!#REF!="Muy Alta",'Mapa final'!#REF!="Mayor"),CONCATENATE("R1C",'Mapa final'!#REF!),"")</f>
        <v>#REF!</v>
      </c>
      <c r="AH6" s="137" t="str">
        <f>IF(AND('Mapa final'!$Y$16="Muy Alta",'Mapa final'!$AA$16="Catastrófico"),CONCATENATE("R1C",'Mapa final'!$O$16),"")</f>
        <v/>
      </c>
      <c r="AI6" s="138" t="str">
        <f>IF(AND('Mapa final'!$Y$17="Muy Alta",'Mapa final'!$AA$17="Catastrófico"),CONCATENATE("R1C",'Mapa final'!$O$17),"")</f>
        <v/>
      </c>
      <c r="AJ6" s="138" t="str">
        <f>IF(AND('Mapa final'!$Y$18="Muy Alta",'Mapa final'!$AA$18="Catastrófico"),CONCATENATE("R1C",'Mapa final'!$O$18),"")</f>
        <v/>
      </c>
      <c r="AK6" s="138" t="e">
        <f>IF(AND('Mapa final'!#REF!="Muy Alta",'Mapa final'!#REF!="Catastrófico"),CONCATENATE("R1C",'Mapa final'!#REF!),"")</f>
        <v>#REF!</v>
      </c>
      <c r="AL6" s="138" t="e">
        <f>IF(AND('Mapa final'!#REF!="Muy Alta",'Mapa final'!#REF!="Catastrófico"),CONCATENATE("R1C",'Mapa final'!#REF!),"")</f>
        <v>#REF!</v>
      </c>
      <c r="AM6" s="139" t="e">
        <f>IF(AND('Mapa final'!#REF!="Muy Alta",'Mapa final'!#REF!="Catastrófico"),CONCATENATE("R1C",'Mapa final'!#REF!),"")</f>
        <v>#REF!</v>
      </c>
      <c r="AN6" s="64"/>
      <c r="AO6" s="146" t="s">
        <v>132</v>
      </c>
      <c r="AP6" s="147"/>
      <c r="AQ6" s="147"/>
      <c r="AR6" s="147"/>
      <c r="AS6" s="147"/>
      <c r="AT6" s="148"/>
    </row>
    <row r="7" customHeight="1" spans="2:46">
      <c r="B7" s="63"/>
      <c r="D7" s="100"/>
      <c r="E7" s="103"/>
      <c r="I7" s="100"/>
      <c r="J7" s="111" t="str">
        <f>IF(AND('Mapa final'!$Y$21="Muy Alta",'Mapa final'!$AA$21="Leve"),CONCATENATE("R2C",'Mapa final'!$O$21),"")</f>
        <v/>
      </c>
      <c r="K7" s="112" t="e">
        <f>IF(AND('Mapa final'!#REF!="Muy Alta",'Mapa final'!#REF!="Leve"),CONCATENATE("R2C",'Mapa final'!#REF!),"")</f>
        <v>#REF!</v>
      </c>
      <c r="L7" s="112" t="e">
        <f>IF(AND('Mapa final'!#REF!="Muy Alta",'Mapa final'!#REF!="Leve"),CONCATENATE("R2C",'Mapa final'!#REF!),"")</f>
        <v>#REF!</v>
      </c>
      <c r="M7" s="112" t="e">
        <f>IF(AND('Mapa final'!#REF!="Muy Alta",'Mapa final'!#REF!="Leve"),CONCATENATE("R2C",'Mapa final'!#REF!),"")</f>
        <v>#REF!</v>
      </c>
      <c r="N7" s="112" t="str">
        <f>IF(AND('Mapa final'!$Y$22="Muy Alta",'Mapa final'!$AA$22="Leve"),CONCATENATE("R2C",'Mapa final'!$O$22),"")</f>
        <v/>
      </c>
      <c r="O7" s="113" t="str">
        <f>IF(AND('Mapa final'!$Y$23="Muy Alta",'Mapa final'!$AA$23="Leve"),CONCATENATE("R2C",'Mapa final'!$O$23),"")</f>
        <v/>
      </c>
      <c r="P7" s="111" t="str">
        <f>IF(AND('Mapa final'!$Y$21="Muy Alta",'Mapa final'!$AA$21="Menor"),CONCATENATE("R2C",'Mapa final'!$O$21),"")</f>
        <v/>
      </c>
      <c r="Q7" s="112" t="e">
        <f>IF(AND('Mapa final'!#REF!="Muy Alta",'Mapa final'!#REF!="Menor"),CONCATENATE("R2C",'Mapa final'!#REF!),"")</f>
        <v>#REF!</v>
      </c>
      <c r="R7" s="112" t="e">
        <f>IF(AND('Mapa final'!#REF!="Muy Alta",'Mapa final'!#REF!="Menor"),CONCATENATE("R2C",'Mapa final'!#REF!),"")</f>
        <v>#REF!</v>
      </c>
      <c r="S7" s="112" t="e">
        <f>IF(AND('Mapa final'!#REF!="Muy Alta",'Mapa final'!#REF!="Menor"),CONCATENATE("R2C",'Mapa final'!#REF!),"")</f>
        <v>#REF!</v>
      </c>
      <c r="T7" s="112" t="str">
        <f>IF(AND('Mapa final'!$Y$22="Muy Alta",'Mapa final'!$AA$22="Menor"),CONCATENATE("R2C",'Mapa final'!$O$22),"")</f>
        <v/>
      </c>
      <c r="U7" s="113" t="str">
        <f>IF(AND('Mapa final'!$Y$23="Muy Alta",'Mapa final'!$AA$23="Menor"),CONCATENATE("R2C",'Mapa final'!$O$23),"")</f>
        <v/>
      </c>
      <c r="V7" s="111" t="str">
        <f>IF(AND('Mapa final'!$Y$21="Muy Alta",'Mapa final'!$AA$21="Moderado"),CONCATENATE("R2C",'Mapa final'!$O$21),"")</f>
        <v/>
      </c>
      <c r="W7" s="112" t="e">
        <f>IF(AND('Mapa final'!#REF!="Muy Alta",'Mapa final'!#REF!="Moderado"),CONCATENATE("R2C",'Mapa final'!#REF!),"")</f>
        <v>#REF!</v>
      </c>
      <c r="X7" s="112" t="e">
        <f>IF(AND('Mapa final'!#REF!="Muy Alta",'Mapa final'!#REF!="Moderado"),CONCATENATE("R2C",'Mapa final'!#REF!),"")</f>
        <v>#REF!</v>
      </c>
      <c r="Y7" s="112" t="e">
        <f>IF(AND('Mapa final'!#REF!="Muy Alta",'Mapa final'!#REF!="Moderado"),CONCATENATE("R2C",'Mapa final'!#REF!),"")</f>
        <v>#REF!</v>
      </c>
      <c r="Z7" s="112" t="str">
        <f>IF(AND('Mapa final'!$Y$22="Muy Alta",'Mapa final'!$AA$22="Moderado"),CONCATENATE("R2C",'Mapa final'!$O$22),"")</f>
        <v/>
      </c>
      <c r="AA7" s="113" t="str">
        <f>IF(AND('Mapa final'!$Y$23="Muy Alta",'Mapa final'!$AA$23="Moderado"),CONCATENATE("R2C",'Mapa final'!$O$23),"")</f>
        <v/>
      </c>
      <c r="AB7" s="111" t="str">
        <f>IF(AND('Mapa final'!$Y$21="Muy Alta",'Mapa final'!$AA$21="Mayor"),CONCATENATE("R2C",'Mapa final'!$O$21),"")</f>
        <v/>
      </c>
      <c r="AC7" s="112" t="e">
        <f>IF(AND('Mapa final'!#REF!="Muy Alta",'Mapa final'!#REF!="Mayor"),CONCATENATE("R2C",'Mapa final'!#REF!),"")</f>
        <v>#REF!</v>
      </c>
      <c r="AD7" s="112" t="e">
        <f>IF(AND('Mapa final'!#REF!="Muy Alta",'Mapa final'!#REF!="Mayor"),CONCATENATE("R2C",'Mapa final'!#REF!),"")</f>
        <v>#REF!</v>
      </c>
      <c r="AE7" s="112" t="e">
        <f>IF(AND('Mapa final'!#REF!="Muy Alta",'Mapa final'!#REF!="Mayor"),CONCATENATE("R2C",'Mapa final'!#REF!),"")</f>
        <v>#REF!</v>
      </c>
      <c r="AF7" s="112" t="str">
        <f>IF(AND('Mapa final'!$Y$22="Muy Alta",'Mapa final'!$AA$22="Mayor"),CONCATENATE("R2C",'Mapa final'!$O$22),"")</f>
        <v/>
      </c>
      <c r="AG7" s="113" t="str">
        <f>IF(AND('Mapa final'!$Y$23="Muy Alta",'Mapa final'!$AA$23="Mayor"),CONCATENATE("R2C",'Mapa final'!$O$23),"")</f>
        <v/>
      </c>
      <c r="AH7" s="140" t="str">
        <f>IF(AND('Mapa final'!$Y$21="Muy Alta",'Mapa final'!$AA$21="Catastrófico"),CONCATENATE("R2C",'Mapa final'!$O$21),"")</f>
        <v/>
      </c>
      <c r="AI7" s="141" t="e">
        <f>IF(AND('Mapa final'!#REF!="Muy Alta",'Mapa final'!#REF!="Catastrófico"),CONCATENATE("R2C",'Mapa final'!#REF!),"")</f>
        <v>#REF!</v>
      </c>
      <c r="AJ7" s="141" t="e">
        <f>IF(AND('Mapa final'!#REF!="Muy Alta",'Mapa final'!#REF!="Catastrófico"),CONCATENATE("R2C",'Mapa final'!#REF!),"")</f>
        <v>#REF!</v>
      </c>
      <c r="AK7" s="141" t="e">
        <f>IF(AND('Mapa final'!#REF!="Muy Alta",'Mapa final'!#REF!="Catastrófico"),CONCATENATE("R2C",'Mapa final'!#REF!),"")</f>
        <v>#REF!</v>
      </c>
      <c r="AL7" s="141" t="str">
        <f>IF(AND('Mapa final'!$Y$22="Muy Alta",'Mapa final'!$AA$22="Catastrófico"),CONCATENATE("R2C",'Mapa final'!$O$22),"")</f>
        <v/>
      </c>
      <c r="AM7" s="142" t="str">
        <f>IF(AND('Mapa final'!$Y$23="Muy Alta",'Mapa final'!$AA$23="Catastrófico"),CONCATENATE("R2C",'Mapa final'!$O$23),"")</f>
        <v/>
      </c>
      <c r="AN7" s="64"/>
      <c r="AO7" s="149"/>
      <c r="AT7" s="150"/>
    </row>
    <row r="8" customHeight="1" spans="2:46">
      <c r="B8" s="63"/>
      <c r="D8" s="100"/>
      <c r="E8" s="103"/>
      <c r="I8" s="100"/>
      <c r="J8" s="111" t="str">
        <f>IF(AND('Mapa final'!$Y$26="Muy Alta",'Mapa final'!$AA$26="Leve"),CONCATENATE("R3C",'Mapa final'!$O$26),"")</f>
        <v/>
      </c>
      <c r="K8" s="112" t="str">
        <f>IF(AND('Mapa final'!$Y$27="Muy Alta",'Mapa final'!$AA$27="Leve"),CONCATENATE("R3C",'Mapa final'!$O$27),"")</f>
        <v/>
      </c>
      <c r="L8" s="112" t="str">
        <f>IF(AND('Mapa final'!$Y$28="Muy Alta",'Mapa final'!$AA$28="Leve"),CONCATENATE("R3C",'Mapa final'!$O$28),"")</f>
        <v/>
      </c>
      <c r="M8" s="112" t="e">
        <f>IF(AND('Mapa final'!#REF!="Muy Alta",'Mapa final'!#REF!="Leve"),CONCATENATE("R3C",'Mapa final'!#REF!),"")</f>
        <v>#REF!</v>
      </c>
      <c r="N8" s="112" t="e">
        <f>IF(AND('Mapa final'!#REF!="Muy Alta",'Mapa final'!#REF!="Leve"),CONCATENATE("R3C",'Mapa final'!#REF!),"")</f>
        <v>#REF!</v>
      </c>
      <c r="O8" s="113" t="e">
        <f>IF(AND('Mapa final'!#REF!="Muy Alta",'Mapa final'!#REF!="Leve"),CONCATENATE("R3C",'Mapa final'!#REF!),"")</f>
        <v>#REF!</v>
      </c>
      <c r="P8" s="111" t="str">
        <f>IF(AND('Mapa final'!$Y$26="Muy Alta",'Mapa final'!$AA$26="Menor"),CONCATENATE("R3C",'Mapa final'!$O$26),"")</f>
        <v/>
      </c>
      <c r="Q8" s="112" t="str">
        <f>IF(AND('Mapa final'!$Y$27="Muy Alta",'Mapa final'!$AA$27="Menor"),CONCATENATE("R3C",'Mapa final'!$O$27),"")</f>
        <v/>
      </c>
      <c r="R8" s="112" t="str">
        <f>IF(AND('Mapa final'!$Y$28="Muy Alta",'Mapa final'!$AA$28="Menor"),CONCATENATE("R3C",'Mapa final'!$O$28),"")</f>
        <v/>
      </c>
      <c r="S8" s="112" t="e">
        <f>IF(AND('Mapa final'!#REF!="Muy Alta",'Mapa final'!#REF!="Menor"),CONCATENATE("R3C",'Mapa final'!#REF!),"")</f>
        <v>#REF!</v>
      </c>
      <c r="T8" s="112" t="e">
        <f>IF(AND('Mapa final'!#REF!="Muy Alta",'Mapa final'!#REF!="Menor"),CONCATENATE("R3C",'Mapa final'!#REF!),"")</f>
        <v>#REF!</v>
      </c>
      <c r="U8" s="113" t="e">
        <f>IF(AND('Mapa final'!#REF!="Muy Alta",'Mapa final'!#REF!="Menor"),CONCATENATE("R3C",'Mapa final'!#REF!),"")</f>
        <v>#REF!</v>
      </c>
      <c r="V8" s="111" t="str">
        <f>IF(AND('Mapa final'!$Y$26="Muy Alta",'Mapa final'!$AA$26="Moderado"),CONCATENATE("R3C",'Mapa final'!$O$26),"")</f>
        <v/>
      </c>
      <c r="W8" s="112" t="str">
        <f>IF(AND('Mapa final'!$Y$27="Muy Alta",'Mapa final'!$AA$27="Moderado"),CONCATENATE("R3C",'Mapa final'!$O$27),"")</f>
        <v/>
      </c>
      <c r="X8" s="112" t="str">
        <f>IF(AND('Mapa final'!$Y$28="Muy Alta",'Mapa final'!$AA$28="Moderado"),CONCATENATE("R3C",'Mapa final'!$O$28),"")</f>
        <v/>
      </c>
      <c r="Y8" s="112" t="e">
        <f>IF(AND('Mapa final'!#REF!="Muy Alta",'Mapa final'!#REF!="Moderado"),CONCATENATE("R3C",'Mapa final'!#REF!),"")</f>
        <v>#REF!</v>
      </c>
      <c r="Z8" s="112" t="e">
        <f>IF(AND('Mapa final'!#REF!="Muy Alta",'Mapa final'!#REF!="Moderado"),CONCATENATE("R3C",'Mapa final'!#REF!),"")</f>
        <v>#REF!</v>
      </c>
      <c r="AA8" s="113" t="e">
        <f>IF(AND('Mapa final'!#REF!="Muy Alta",'Mapa final'!#REF!="Moderado"),CONCATENATE("R3C",'Mapa final'!#REF!),"")</f>
        <v>#REF!</v>
      </c>
      <c r="AB8" s="111" t="str">
        <f>IF(AND('Mapa final'!$Y$26="Muy Alta",'Mapa final'!$AA$26="Mayor"),CONCATENATE("R3C",'Mapa final'!$O$26),"")</f>
        <v/>
      </c>
      <c r="AC8" s="112" t="str">
        <f>IF(AND('Mapa final'!$Y$27="Muy Alta",'Mapa final'!$AA$27="Mayor"),CONCATENATE("R3C",'Mapa final'!$O$27),"")</f>
        <v/>
      </c>
      <c r="AD8" s="112" t="str">
        <f>IF(AND('Mapa final'!$Y$28="Muy Alta",'Mapa final'!$AA$28="Mayor"),CONCATENATE("R3C",'Mapa final'!$O$28),"")</f>
        <v/>
      </c>
      <c r="AE8" s="112" t="e">
        <f>IF(AND('Mapa final'!#REF!="Muy Alta",'Mapa final'!#REF!="Mayor"),CONCATENATE("R3C",'Mapa final'!#REF!),"")</f>
        <v>#REF!</v>
      </c>
      <c r="AF8" s="112" t="e">
        <f>IF(AND('Mapa final'!#REF!="Muy Alta",'Mapa final'!#REF!="Mayor"),CONCATENATE("R3C",'Mapa final'!#REF!),"")</f>
        <v>#REF!</v>
      </c>
      <c r="AG8" s="113" t="e">
        <f>IF(AND('Mapa final'!#REF!="Muy Alta",'Mapa final'!#REF!="Mayor"),CONCATENATE("R3C",'Mapa final'!#REF!),"")</f>
        <v>#REF!</v>
      </c>
      <c r="AH8" s="140" t="str">
        <f>IF(AND('Mapa final'!$Y$26="Muy Alta",'Mapa final'!$AA$26="Catastrófico"),CONCATENATE("R3C",'Mapa final'!$O$26),"")</f>
        <v/>
      </c>
      <c r="AI8" s="141" t="str">
        <f>IF(AND('Mapa final'!$Y$27="Muy Alta",'Mapa final'!$AA$27="Catastrófico"),CONCATENATE("R3C",'Mapa final'!$O$27),"")</f>
        <v/>
      </c>
      <c r="AJ8" s="141" t="str">
        <f>IF(AND('Mapa final'!$Y$28="Muy Alta",'Mapa final'!$AA$28="Catastrófico"),CONCATENATE("R3C",'Mapa final'!$O$28),"")</f>
        <v/>
      </c>
      <c r="AK8" s="141" t="e">
        <f>IF(AND('Mapa final'!#REF!="Muy Alta",'Mapa final'!#REF!="Catastrófico"),CONCATENATE("R3C",'Mapa final'!#REF!),"")</f>
        <v>#REF!</v>
      </c>
      <c r="AL8" s="141" t="e">
        <f>IF(AND('Mapa final'!#REF!="Muy Alta",'Mapa final'!#REF!="Catastrófico"),CONCATENATE("R3C",'Mapa final'!#REF!),"")</f>
        <v>#REF!</v>
      </c>
      <c r="AM8" s="142" t="e">
        <f>IF(AND('Mapa final'!#REF!="Muy Alta",'Mapa final'!#REF!="Catastrófico"),CONCATENATE("R3C",'Mapa final'!#REF!),"")</f>
        <v>#REF!</v>
      </c>
      <c r="AN8" s="64"/>
      <c r="AO8" s="149"/>
      <c r="AT8" s="150"/>
    </row>
    <row r="9" customHeight="1" spans="2:46">
      <c r="B9" s="63"/>
      <c r="D9" s="100"/>
      <c r="E9" s="103"/>
      <c r="I9" s="100"/>
      <c r="J9" s="111" t="str">
        <f>IF(AND('Mapa final'!$Y$31="Muy Alta",'Mapa final'!$AA$31="Leve"),CONCATENATE("R4C",'Mapa final'!$O$31),"")</f>
        <v/>
      </c>
      <c r="K9" s="112" t="str">
        <f>IF(AND('Mapa final'!$Y$32="Muy Alta",'Mapa final'!$AA$32="Leve"),CONCATENATE("R4C",'Mapa final'!$O$32),"")</f>
        <v/>
      </c>
      <c r="L9" s="112" t="e">
        <f>IF(AND('Mapa final'!#REF!="Muy Alta",'Mapa final'!#REF!="Leve"),CONCATENATE("R4C",'Mapa final'!#REF!),"")</f>
        <v>#REF!</v>
      </c>
      <c r="M9" s="112" t="str">
        <f>IF(AND('Mapa final'!$Y$33="Muy Alta",'Mapa final'!$AA$33="Leve"),CONCATENATE("R4C",'Mapa final'!$O$33),"")</f>
        <v/>
      </c>
      <c r="N9" s="112" t="e">
        <f>IF(AND('Mapa final'!#REF!="Muy Alta",'Mapa final'!#REF!="Leve"),CONCATENATE("R4C",'Mapa final'!#REF!),"")</f>
        <v>#REF!</v>
      </c>
      <c r="O9" s="113" t="e">
        <f>IF(AND('Mapa final'!#REF!="Muy Alta",'Mapa final'!#REF!="Leve"),CONCATENATE("R4C",'Mapa final'!#REF!),"")</f>
        <v>#REF!</v>
      </c>
      <c r="P9" s="111" t="str">
        <f>IF(AND('Mapa final'!$Y$31="Muy Alta",'Mapa final'!$AA$31="Menor"),CONCATENATE("R4C",'Mapa final'!$O$31),"")</f>
        <v/>
      </c>
      <c r="Q9" s="112" t="str">
        <f>IF(AND('Mapa final'!$Y$32="Muy Alta",'Mapa final'!$AA$32="Menor"),CONCATENATE("R4C",'Mapa final'!$O$32),"")</f>
        <v/>
      </c>
      <c r="R9" s="112" t="e">
        <f>IF(AND('Mapa final'!#REF!="Muy Alta",'Mapa final'!#REF!="Menor"),CONCATENATE("R4C",'Mapa final'!#REF!),"")</f>
        <v>#REF!</v>
      </c>
      <c r="S9" s="112" t="str">
        <f>IF(AND('Mapa final'!$Y$33="Muy Alta",'Mapa final'!$AA$33="Menor"),CONCATENATE("R4C",'Mapa final'!$O$33),"")</f>
        <v/>
      </c>
      <c r="T9" s="112" t="e">
        <f>IF(AND('Mapa final'!#REF!="Muy Alta",'Mapa final'!#REF!="Menor"),CONCATENATE("R4C",'Mapa final'!#REF!),"")</f>
        <v>#REF!</v>
      </c>
      <c r="U9" s="113" t="e">
        <f>IF(AND('Mapa final'!#REF!="Muy Alta",'Mapa final'!#REF!="Menor"),CONCATENATE("R4C",'Mapa final'!#REF!),"")</f>
        <v>#REF!</v>
      </c>
      <c r="V9" s="111" t="str">
        <f>IF(AND('Mapa final'!$Y$31="Muy Alta",'Mapa final'!$AA$31="Moderado"),CONCATENATE("R4C",'Mapa final'!$O$31),"")</f>
        <v/>
      </c>
      <c r="W9" s="112" t="str">
        <f>IF(AND('Mapa final'!$Y$32="Muy Alta",'Mapa final'!$AA$32="Moderado"),CONCATENATE("R4C",'Mapa final'!$O$32),"")</f>
        <v/>
      </c>
      <c r="X9" s="112" t="e">
        <f>IF(AND('Mapa final'!#REF!="Muy Alta",'Mapa final'!#REF!="Moderado"),CONCATENATE("R4C",'Mapa final'!#REF!),"")</f>
        <v>#REF!</v>
      </c>
      <c r="Y9" s="112" t="str">
        <f>IF(AND('Mapa final'!$Y$33="Muy Alta",'Mapa final'!$AA$33="Moderado"),CONCATENATE("R4C",'Mapa final'!$O$33),"")</f>
        <v/>
      </c>
      <c r="Z9" s="112" t="e">
        <f>IF(AND('Mapa final'!#REF!="Muy Alta",'Mapa final'!#REF!="Moderado"),CONCATENATE("R4C",'Mapa final'!#REF!),"")</f>
        <v>#REF!</v>
      </c>
      <c r="AA9" s="113" t="e">
        <f>IF(AND('Mapa final'!#REF!="Muy Alta",'Mapa final'!#REF!="Moderado"),CONCATENATE("R4C",'Mapa final'!#REF!),"")</f>
        <v>#REF!</v>
      </c>
      <c r="AB9" s="111" t="str">
        <f>IF(AND('Mapa final'!$Y$31="Muy Alta",'Mapa final'!$AA$31="Mayor"),CONCATENATE("R4C",'Mapa final'!$O$31),"")</f>
        <v/>
      </c>
      <c r="AC9" s="112" t="str">
        <f>IF(AND('Mapa final'!$Y$32="Muy Alta",'Mapa final'!$AA$32="Mayor"),CONCATENATE("R4C",'Mapa final'!$O$32),"")</f>
        <v/>
      </c>
      <c r="AD9" s="112" t="e">
        <f>IF(AND('Mapa final'!#REF!="Muy Alta",'Mapa final'!#REF!="Mayor"),CONCATENATE("R4C",'Mapa final'!#REF!),"")</f>
        <v>#REF!</v>
      </c>
      <c r="AE9" s="112" t="str">
        <f>IF(AND('Mapa final'!$Y$33="Muy Alta",'Mapa final'!$AA$33="Mayor"),CONCATENATE("R4C",'Mapa final'!$O$33),"")</f>
        <v/>
      </c>
      <c r="AF9" s="112" t="e">
        <f>IF(AND('Mapa final'!#REF!="Muy Alta",'Mapa final'!#REF!="Mayor"),CONCATENATE("R4C",'Mapa final'!#REF!),"")</f>
        <v>#REF!</v>
      </c>
      <c r="AG9" s="113" t="e">
        <f>IF(AND('Mapa final'!#REF!="Muy Alta",'Mapa final'!#REF!="Mayor"),CONCATENATE("R4C",'Mapa final'!#REF!),"")</f>
        <v>#REF!</v>
      </c>
      <c r="AH9" s="140" t="str">
        <f>IF(AND('Mapa final'!$Y$31="Muy Alta",'Mapa final'!$AA$31="Catastrófico"),CONCATENATE("R4C",'Mapa final'!$O$31),"")</f>
        <v/>
      </c>
      <c r="AI9" s="141" t="str">
        <f>IF(AND('Mapa final'!$Y$32="Muy Alta",'Mapa final'!$AA$32="Catastrófico"),CONCATENATE("R4C",'Mapa final'!$O$32),"")</f>
        <v/>
      </c>
      <c r="AJ9" s="141" t="e">
        <f>IF(AND('Mapa final'!#REF!="Muy Alta",'Mapa final'!#REF!="Catastrófico"),CONCATENATE("R4C",'Mapa final'!#REF!),"")</f>
        <v>#REF!</v>
      </c>
      <c r="AK9" s="141" t="str">
        <f>IF(AND('Mapa final'!$Y$33="Muy Alta",'Mapa final'!$AA$33="Catastrófico"),CONCATENATE("R4C",'Mapa final'!$O$33),"")</f>
        <v/>
      </c>
      <c r="AL9" s="141" t="e">
        <f>IF(AND('Mapa final'!#REF!="Muy Alta",'Mapa final'!#REF!="Catastrófico"),CONCATENATE("R4C",'Mapa final'!#REF!),"")</f>
        <v>#REF!</v>
      </c>
      <c r="AM9" s="142" t="e">
        <f>IF(AND('Mapa final'!#REF!="Muy Alta",'Mapa final'!#REF!="Catastrófico"),CONCATENATE("R4C",'Mapa final'!#REF!),"")</f>
        <v>#REF!</v>
      </c>
      <c r="AN9" s="64"/>
      <c r="AO9" s="149"/>
      <c r="AT9" s="150"/>
    </row>
    <row r="10" customHeight="1" spans="2:46">
      <c r="B10" s="63"/>
      <c r="D10" s="100"/>
      <c r="E10" s="103"/>
      <c r="I10" s="100"/>
      <c r="J10" s="111" t="str">
        <f>IF(AND('Mapa final'!$Y$36="Muy Alta",'Mapa final'!$AA$36="Leve"),CONCATENATE("R5C",'Mapa final'!$O$36),"")</f>
        <v/>
      </c>
      <c r="K10" s="112" t="str">
        <f>IF(AND('Mapa final'!$Y$37="Muy Alta",'Mapa final'!$AA$37="Leve"),CONCATENATE("R5C",'Mapa final'!$O$37),"")</f>
        <v/>
      </c>
      <c r="L10" s="112" t="str">
        <f>IF(AND('Mapa final'!$Y$38="Muy Alta",'Mapa final'!$AA$38="Leve"),CONCATENATE("R5C",'Mapa final'!$O$38),"")</f>
        <v/>
      </c>
      <c r="M10" s="112" t="e">
        <f>IF(AND('Mapa final'!#REF!="Muy Alta",'Mapa final'!#REF!="Leve"),CONCATENATE("R5C",'Mapa final'!#REF!),"")</f>
        <v>#REF!</v>
      </c>
      <c r="N10" s="112" t="e">
        <f>IF(AND('Mapa final'!#REF!="Muy Alta",'Mapa final'!#REF!="Leve"),CONCATENATE("R5C",'Mapa final'!#REF!),"")</f>
        <v>#REF!</v>
      </c>
      <c r="O10" s="113" t="e">
        <f>IF(AND('Mapa final'!#REF!="Muy Alta",'Mapa final'!#REF!="Leve"),CONCATENATE("R5C",'Mapa final'!#REF!),"")</f>
        <v>#REF!</v>
      </c>
      <c r="P10" s="111" t="str">
        <f>IF(AND('Mapa final'!$Y$36="Muy Alta",'Mapa final'!$AA$36="Menor"),CONCATENATE("R5C",'Mapa final'!$O$36),"")</f>
        <v/>
      </c>
      <c r="Q10" s="112" t="str">
        <f>IF(AND('Mapa final'!$Y$37="Muy Alta",'Mapa final'!$AA$37="Menor"),CONCATENATE("R5C",'Mapa final'!$O$37),"")</f>
        <v/>
      </c>
      <c r="R10" s="112" t="str">
        <f>IF(AND('Mapa final'!$Y$38="Muy Alta",'Mapa final'!$AA$38="Menor"),CONCATENATE("R5C",'Mapa final'!$O$38),"")</f>
        <v/>
      </c>
      <c r="S10" s="112" t="e">
        <f>IF(AND('Mapa final'!#REF!="Muy Alta",'Mapa final'!#REF!="Menor"),CONCATENATE("R5C",'Mapa final'!#REF!),"")</f>
        <v>#REF!</v>
      </c>
      <c r="T10" s="112" t="e">
        <f>IF(AND('Mapa final'!#REF!="Muy Alta",'Mapa final'!#REF!="Menor"),CONCATENATE("R5C",'Mapa final'!#REF!),"")</f>
        <v>#REF!</v>
      </c>
      <c r="U10" s="113" t="e">
        <f>IF(AND('Mapa final'!#REF!="Muy Alta",'Mapa final'!#REF!="Menor"),CONCATENATE("R5C",'Mapa final'!#REF!),"")</f>
        <v>#REF!</v>
      </c>
      <c r="V10" s="111" t="str">
        <f>IF(AND('Mapa final'!$Y$36="Muy Alta",'Mapa final'!$AA$36="Moderado"),CONCATENATE("R5C",'Mapa final'!$O$36),"")</f>
        <v/>
      </c>
      <c r="W10" s="112" t="str">
        <f>IF(AND('Mapa final'!$Y$37="Muy Alta",'Mapa final'!$AA$37="Moderado"),CONCATENATE("R5C",'Mapa final'!$O$37),"")</f>
        <v/>
      </c>
      <c r="X10" s="112" t="str">
        <f>IF(AND('Mapa final'!$Y$38="Muy Alta",'Mapa final'!$AA$38="Moderado"),CONCATENATE("R5C",'Mapa final'!$O$38),"")</f>
        <v/>
      </c>
      <c r="Y10" s="112" t="e">
        <f>IF(AND('Mapa final'!#REF!="Muy Alta",'Mapa final'!#REF!="Moderado"),CONCATENATE("R5C",'Mapa final'!#REF!),"")</f>
        <v>#REF!</v>
      </c>
      <c r="Z10" s="112" t="e">
        <f>IF(AND('Mapa final'!#REF!="Muy Alta",'Mapa final'!#REF!="Moderado"),CONCATENATE("R5C",'Mapa final'!#REF!),"")</f>
        <v>#REF!</v>
      </c>
      <c r="AA10" s="113" t="e">
        <f>IF(AND('Mapa final'!#REF!="Muy Alta",'Mapa final'!#REF!="Moderado"),CONCATENATE("R5C",'Mapa final'!#REF!),"")</f>
        <v>#REF!</v>
      </c>
      <c r="AB10" s="111" t="str">
        <f>IF(AND('Mapa final'!$Y$36="Muy Alta",'Mapa final'!$AA$36="Mayor"),CONCATENATE("R5C",'Mapa final'!$O$36),"")</f>
        <v/>
      </c>
      <c r="AC10" s="112" t="str">
        <f>IF(AND('Mapa final'!$Y$37="Muy Alta",'Mapa final'!$AA$37="Mayor"),CONCATENATE("R5C",'Mapa final'!$O$37),"")</f>
        <v/>
      </c>
      <c r="AD10" s="112" t="str">
        <f>IF(AND('Mapa final'!$Y$38="Muy Alta",'Mapa final'!$AA$38="Mayor"),CONCATENATE("R5C",'Mapa final'!$O$38),"")</f>
        <v/>
      </c>
      <c r="AE10" s="112" t="e">
        <f>IF(AND('Mapa final'!#REF!="Muy Alta",'Mapa final'!#REF!="Mayor"),CONCATENATE("R5C",'Mapa final'!#REF!),"")</f>
        <v>#REF!</v>
      </c>
      <c r="AF10" s="112" t="e">
        <f>IF(AND('Mapa final'!#REF!="Muy Alta",'Mapa final'!#REF!="Mayor"),CONCATENATE("R5C",'Mapa final'!#REF!),"")</f>
        <v>#REF!</v>
      </c>
      <c r="AG10" s="113" t="e">
        <f>IF(AND('Mapa final'!#REF!="Muy Alta",'Mapa final'!#REF!="Mayor"),CONCATENATE("R5C",'Mapa final'!#REF!),"")</f>
        <v>#REF!</v>
      </c>
      <c r="AH10" s="140" t="str">
        <f>IF(AND('Mapa final'!$Y$36="Muy Alta",'Mapa final'!$AA$36="Catastrófico"),CONCATENATE("R5C",'Mapa final'!$O$36),"")</f>
        <v/>
      </c>
      <c r="AI10" s="141" t="str">
        <f>IF(AND('Mapa final'!$Y$37="Muy Alta",'Mapa final'!$AA$37="Catastrófico"),CONCATENATE("R5C",'Mapa final'!$O$37),"")</f>
        <v/>
      </c>
      <c r="AJ10" s="141" t="str">
        <f>IF(AND('Mapa final'!$Y$38="Muy Alta",'Mapa final'!$AA$38="Catastrófico"),CONCATENATE("R5C",'Mapa final'!$O$38),"")</f>
        <v/>
      </c>
      <c r="AK10" s="141" t="e">
        <f>IF(AND('Mapa final'!#REF!="Muy Alta",'Mapa final'!#REF!="Catastrófico"),CONCATENATE("R5C",'Mapa final'!#REF!),"")</f>
        <v>#REF!</v>
      </c>
      <c r="AL10" s="141" t="e">
        <f>IF(AND('Mapa final'!#REF!="Muy Alta",'Mapa final'!#REF!="Catastrófico"),CONCATENATE("R5C",'Mapa final'!#REF!),"")</f>
        <v>#REF!</v>
      </c>
      <c r="AM10" s="142" t="e">
        <f>IF(AND('Mapa final'!#REF!="Muy Alta",'Mapa final'!#REF!="Catastrófico"),CONCATENATE("R5C",'Mapa final'!#REF!),"")</f>
        <v>#REF!</v>
      </c>
      <c r="AN10" s="64"/>
      <c r="AO10" s="149"/>
      <c r="AT10" s="150"/>
    </row>
    <row r="11" customHeight="1" spans="2:46">
      <c r="B11" s="63"/>
      <c r="D11" s="100"/>
      <c r="E11" s="103"/>
      <c r="I11" s="100"/>
      <c r="J11" s="111" t="str">
        <f>IF(AND('Mapa final'!$Y$41="Muy Alta",'Mapa final'!$AA$41="Leve"),CONCATENATE("R6C",'Mapa final'!$O$41),"")</f>
        <v/>
      </c>
      <c r="K11" s="112" t="str">
        <f>IF(AND('Mapa final'!$Y$42="Muy Alta",'Mapa final'!$AA$42="Leve"),CONCATENATE("R6C",'Mapa final'!$O$42),"")</f>
        <v/>
      </c>
      <c r="L11" s="112" t="str">
        <f>IF(AND('Mapa final'!$Y$43="Muy Alta",'Mapa final'!$AA$43="Leve"),CONCATENATE("R6C",'Mapa final'!$O$43),"")</f>
        <v/>
      </c>
      <c r="M11" s="112" t="e">
        <f>IF(AND('Mapa final'!#REF!="Muy Alta",'Mapa final'!#REF!="Leve"),CONCATENATE("R6C",'Mapa final'!#REF!),"")</f>
        <v>#REF!</v>
      </c>
      <c r="N11" s="112" t="e">
        <f>IF(AND('Mapa final'!#REF!="Muy Alta",'Mapa final'!#REF!="Leve"),CONCATENATE("R6C",'Mapa final'!#REF!),"")</f>
        <v>#REF!</v>
      </c>
      <c r="O11" s="113" t="e">
        <f>IF(AND('Mapa final'!#REF!="Muy Alta",'Mapa final'!#REF!="Leve"),CONCATENATE("R6C",'Mapa final'!#REF!),"")</f>
        <v>#REF!</v>
      </c>
      <c r="P11" s="111" t="str">
        <f>IF(AND('Mapa final'!$Y$41="Muy Alta",'Mapa final'!$AA$41="Menor"),CONCATENATE("R6C",'Mapa final'!$O$41),"")</f>
        <v/>
      </c>
      <c r="Q11" s="112" t="str">
        <f>IF(AND('Mapa final'!$Y$42="Muy Alta",'Mapa final'!$AA$42="Menor"),CONCATENATE("R6C",'Mapa final'!$O$42),"")</f>
        <v/>
      </c>
      <c r="R11" s="112" t="str">
        <f>IF(AND('Mapa final'!$Y$43="Muy Alta",'Mapa final'!$AA$43="Menor"),CONCATENATE("R6C",'Mapa final'!$O$43),"")</f>
        <v/>
      </c>
      <c r="S11" s="112" t="e">
        <f>IF(AND('Mapa final'!#REF!="Muy Alta",'Mapa final'!#REF!="Menor"),CONCATENATE("R6C",'Mapa final'!#REF!),"")</f>
        <v>#REF!</v>
      </c>
      <c r="T11" s="112" t="e">
        <f>IF(AND('Mapa final'!#REF!="Muy Alta",'Mapa final'!#REF!="Menor"),CONCATENATE("R6C",'Mapa final'!#REF!),"")</f>
        <v>#REF!</v>
      </c>
      <c r="U11" s="113" t="e">
        <f>IF(AND('Mapa final'!#REF!="Muy Alta",'Mapa final'!#REF!="Menor"),CONCATENATE("R6C",'Mapa final'!#REF!),"")</f>
        <v>#REF!</v>
      </c>
      <c r="V11" s="111" t="str">
        <f>IF(AND('Mapa final'!$Y$41="Muy Alta",'Mapa final'!$AA$41="Moderado"),CONCATENATE("R6C",'Mapa final'!$O$41),"")</f>
        <v/>
      </c>
      <c r="W11" s="112" t="str">
        <f>IF(AND('Mapa final'!$Y$42="Muy Alta",'Mapa final'!$AA$42="Moderado"),CONCATENATE("R6C",'Mapa final'!$O$42),"")</f>
        <v/>
      </c>
      <c r="X11" s="112" t="str">
        <f>IF(AND('Mapa final'!$Y$43="Muy Alta",'Mapa final'!$AA$43="Moderado"),CONCATENATE("R6C",'Mapa final'!$O$43),"")</f>
        <v/>
      </c>
      <c r="Y11" s="112" t="e">
        <f>IF(AND('Mapa final'!#REF!="Muy Alta",'Mapa final'!#REF!="Moderado"),CONCATENATE("R6C",'Mapa final'!#REF!),"")</f>
        <v>#REF!</v>
      </c>
      <c r="Z11" s="112" t="e">
        <f>IF(AND('Mapa final'!#REF!="Muy Alta",'Mapa final'!#REF!="Moderado"),CONCATENATE("R6C",'Mapa final'!#REF!),"")</f>
        <v>#REF!</v>
      </c>
      <c r="AA11" s="113" t="e">
        <f>IF(AND('Mapa final'!#REF!="Muy Alta",'Mapa final'!#REF!="Moderado"),CONCATENATE("R6C",'Mapa final'!#REF!),"")</f>
        <v>#REF!</v>
      </c>
      <c r="AB11" s="111" t="str">
        <f>IF(AND('Mapa final'!$Y$41="Muy Alta",'Mapa final'!$AA$41="Mayor"),CONCATENATE("R6C",'Mapa final'!$O$41),"")</f>
        <v/>
      </c>
      <c r="AC11" s="112" t="str">
        <f>IF(AND('Mapa final'!$Y$42="Muy Alta",'Mapa final'!$AA$42="Mayor"),CONCATENATE("R6C",'Mapa final'!$O$42),"")</f>
        <v/>
      </c>
      <c r="AD11" s="112" t="str">
        <f>IF(AND('Mapa final'!$Y$43="Muy Alta",'Mapa final'!$AA$43="Mayor"),CONCATENATE("R6C",'Mapa final'!$O$43),"")</f>
        <v/>
      </c>
      <c r="AE11" s="112" t="e">
        <f>IF(AND('Mapa final'!#REF!="Muy Alta",'Mapa final'!#REF!="Mayor"),CONCATENATE("R6C",'Mapa final'!#REF!),"")</f>
        <v>#REF!</v>
      </c>
      <c r="AF11" s="112" t="e">
        <f>IF(AND('Mapa final'!#REF!="Muy Alta",'Mapa final'!#REF!="Mayor"),CONCATENATE("R6C",'Mapa final'!#REF!),"")</f>
        <v>#REF!</v>
      </c>
      <c r="AG11" s="113" t="e">
        <f>IF(AND('Mapa final'!#REF!="Muy Alta",'Mapa final'!#REF!="Mayor"),CONCATENATE("R6C",'Mapa final'!#REF!),"")</f>
        <v>#REF!</v>
      </c>
      <c r="AH11" s="140" t="str">
        <f>IF(AND('Mapa final'!$Y$41="Muy Alta",'Mapa final'!$AA$41="Catastrófico"),CONCATENATE("R6C",'Mapa final'!$O$41),"")</f>
        <v/>
      </c>
      <c r="AI11" s="141" t="str">
        <f>IF(AND('Mapa final'!$Y$42="Muy Alta",'Mapa final'!$AA$42="Catastrófico"),CONCATENATE("R6C",'Mapa final'!$O$42),"")</f>
        <v/>
      </c>
      <c r="AJ11" s="141" t="str">
        <f>IF(AND('Mapa final'!$Y$43="Muy Alta",'Mapa final'!$AA$43="Catastrófico"),CONCATENATE("R6C",'Mapa final'!$O$43),"")</f>
        <v/>
      </c>
      <c r="AK11" s="141" t="e">
        <f>IF(AND('Mapa final'!#REF!="Muy Alta",'Mapa final'!#REF!="Catastrófico"),CONCATENATE("R6C",'Mapa final'!#REF!),"")</f>
        <v>#REF!</v>
      </c>
      <c r="AL11" s="141" t="e">
        <f>IF(AND('Mapa final'!#REF!="Muy Alta",'Mapa final'!#REF!="Catastrófico"),CONCATENATE("R6C",'Mapa final'!#REF!),"")</f>
        <v>#REF!</v>
      </c>
      <c r="AM11" s="142" t="e">
        <f>IF(AND('Mapa final'!#REF!="Muy Alta",'Mapa final'!#REF!="Catastrófico"),CONCATENATE("R6C",'Mapa final'!#REF!),"")</f>
        <v>#REF!</v>
      </c>
      <c r="AN11" s="64"/>
      <c r="AO11" s="149"/>
      <c r="AT11" s="150"/>
    </row>
    <row r="12" customHeight="1" spans="2:46">
      <c r="B12" s="63"/>
      <c r="D12" s="100"/>
      <c r="E12" s="103"/>
      <c r="I12" s="100"/>
      <c r="J12" s="111" t="e">
        <f>IF(AND('Mapa final'!#REF!="Muy Alta",'Mapa final'!#REF!="Leve"),CONCATENATE("R7C",'Mapa final'!#REF!),"")</f>
        <v>#REF!</v>
      </c>
      <c r="K12" s="112" t="e">
        <f>IF(AND('Mapa final'!#REF!="Muy Alta",'Mapa final'!#REF!="Leve"),CONCATENATE("R7C",'Mapa final'!#REF!),"")</f>
        <v>#REF!</v>
      </c>
      <c r="L12" s="112" t="e">
        <f>IF(AND('Mapa final'!#REF!="Muy Alta",'Mapa final'!#REF!="Leve"),CONCATENATE("R7C",'Mapa final'!#REF!),"")</f>
        <v>#REF!</v>
      </c>
      <c r="M12" s="112" t="e">
        <f>IF(AND('Mapa final'!#REF!="Muy Alta",'Mapa final'!#REF!="Leve"),CONCATENATE("R7C",'Mapa final'!#REF!),"")</f>
        <v>#REF!</v>
      </c>
      <c r="N12" s="112" t="e">
        <f>IF(AND('Mapa final'!#REF!="Muy Alta",'Mapa final'!#REF!="Leve"),CONCATENATE("R7C",'Mapa final'!#REF!),"")</f>
        <v>#REF!</v>
      </c>
      <c r="O12" s="113" t="e">
        <f>IF(AND('Mapa final'!#REF!="Muy Alta",'Mapa final'!#REF!="Leve"),CONCATENATE("R7C",'Mapa final'!#REF!),"")</f>
        <v>#REF!</v>
      </c>
      <c r="P12" s="111" t="e">
        <f>IF(AND('Mapa final'!#REF!="Muy Alta",'Mapa final'!#REF!="Menor"),CONCATENATE("R7C",'Mapa final'!#REF!),"")</f>
        <v>#REF!</v>
      </c>
      <c r="Q12" s="112" t="e">
        <f>IF(AND('Mapa final'!#REF!="Muy Alta",'Mapa final'!#REF!="Menor"),CONCATENATE("R7C",'Mapa final'!#REF!),"")</f>
        <v>#REF!</v>
      </c>
      <c r="R12" s="112" t="e">
        <f>IF(AND('Mapa final'!#REF!="Muy Alta",'Mapa final'!#REF!="Menor"),CONCATENATE("R7C",'Mapa final'!#REF!),"")</f>
        <v>#REF!</v>
      </c>
      <c r="S12" s="112" t="e">
        <f>IF(AND('Mapa final'!#REF!="Muy Alta",'Mapa final'!#REF!="Menor"),CONCATENATE("R7C",'Mapa final'!#REF!),"")</f>
        <v>#REF!</v>
      </c>
      <c r="T12" s="112" t="e">
        <f>IF(AND('Mapa final'!#REF!="Muy Alta",'Mapa final'!#REF!="Menor"),CONCATENATE("R7C",'Mapa final'!#REF!),"")</f>
        <v>#REF!</v>
      </c>
      <c r="U12" s="113" t="e">
        <f>IF(AND('Mapa final'!#REF!="Muy Alta",'Mapa final'!#REF!="Menor"),CONCATENATE("R7C",'Mapa final'!#REF!),"")</f>
        <v>#REF!</v>
      </c>
      <c r="V12" s="111" t="e">
        <f>IF(AND('Mapa final'!#REF!="Muy Alta",'Mapa final'!#REF!="Moderado"),CONCATENATE("R7C",'Mapa final'!#REF!),"")</f>
        <v>#REF!</v>
      </c>
      <c r="W12" s="112" t="e">
        <f>IF(AND('Mapa final'!#REF!="Muy Alta",'Mapa final'!#REF!="Moderado"),CONCATENATE("R7C",'Mapa final'!#REF!),"")</f>
        <v>#REF!</v>
      </c>
      <c r="X12" s="112" t="e">
        <f>IF(AND('Mapa final'!#REF!="Muy Alta",'Mapa final'!#REF!="Moderado"),CONCATENATE("R7C",'Mapa final'!#REF!),"")</f>
        <v>#REF!</v>
      </c>
      <c r="Y12" s="112" t="e">
        <f>IF(AND('Mapa final'!#REF!="Muy Alta",'Mapa final'!#REF!="Moderado"),CONCATENATE("R7C",'Mapa final'!#REF!),"")</f>
        <v>#REF!</v>
      </c>
      <c r="Z12" s="112" t="e">
        <f>IF(AND('Mapa final'!#REF!="Muy Alta",'Mapa final'!#REF!="Moderado"),CONCATENATE("R7C",'Mapa final'!#REF!),"")</f>
        <v>#REF!</v>
      </c>
      <c r="AA12" s="113" t="e">
        <f>IF(AND('Mapa final'!#REF!="Muy Alta",'Mapa final'!#REF!="Moderado"),CONCATENATE("R7C",'Mapa final'!#REF!),"")</f>
        <v>#REF!</v>
      </c>
      <c r="AB12" s="111" t="e">
        <f>IF(AND('Mapa final'!#REF!="Muy Alta",'Mapa final'!#REF!="Mayor"),CONCATENATE("R7C",'Mapa final'!#REF!),"")</f>
        <v>#REF!</v>
      </c>
      <c r="AC12" s="112" t="e">
        <f>IF(AND('Mapa final'!#REF!="Muy Alta",'Mapa final'!#REF!="Mayor"),CONCATENATE("R7C",'Mapa final'!#REF!),"")</f>
        <v>#REF!</v>
      </c>
      <c r="AD12" s="112" t="e">
        <f>IF(AND('Mapa final'!#REF!="Muy Alta",'Mapa final'!#REF!="Mayor"),CONCATENATE("R7C",'Mapa final'!#REF!),"")</f>
        <v>#REF!</v>
      </c>
      <c r="AE12" s="112" t="e">
        <f>IF(AND('Mapa final'!#REF!="Muy Alta",'Mapa final'!#REF!="Mayor"),CONCATENATE("R7C",'Mapa final'!#REF!),"")</f>
        <v>#REF!</v>
      </c>
      <c r="AF12" s="112" t="e">
        <f>IF(AND('Mapa final'!#REF!="Muy Alta",'Mapa final'!#REF!="Mayor"),CONCATENATE("R7C",'Mapa final'!#REF!),"")</f>
        <v>#REF!</v>
      </c>
      <c r="AG12" s="113" t="e">
        <f>IF(AND('Mapa final'!#REF!="Muy Alta",'Mapa final'!#REF!="Mayor"),CONCATENATE("R7C",'Mapa final'!#REF!),"")</f>
        <v>#REF!</v>
      </c>
      <c r="AH12" s="140" t="e">
        <f>IF(AND('Mapa final'!#REF!="Muy Alta",'Mapa final'!#REF!="Catastrófico"),CONCATENATE("R7C",'Mapa final'!#REF!),"")</f>
        <v>#REF!</v>
      </c>
      <c r="AI12" s="141" t="e">
        <f>IF(AND('Mapa final'!#REF!="Muy Alta",'Mapa final'!#REF!="Catastrófico"),CONCATENATE("R7C",'Mapa final'!#REF!),"")</f>
        <v>#REF!</v>
      </c>
      <c r="AJ12" s="141" t="e">
        <f>IF(AND('Mapa final'!#REF!="Muy Alta",'Mapa final'!#REF!="Catastrófico"),CONCATENATE("R7C",'Mapa final'!#REF!),"")</f>
        <v>#REF!</v>
      </c>
      <c r="AK12" s="141" t="e">
        <f>IF(AND('Mapa final'!#REF!="Muy Alta",'Mapa final'!#REF!="Catastrófico"),CONCATENATE("R7C",'Mapa final'!#REF!),"")</f>
        <v>#REF!</v>
      </c>
      <c r="AL12" s="141" t="e">
        <f>IF(AND('Mapa final'!#REF!="Muy Alta",'Mapa final'!#REF!="Catastrófico"),CONCATENATE("R7C",'Mapa final'!#REF!),"")</f>
        <v>#REF!</v>
      </c>
      <c r="AM12" s="142" t="e">
        <f>IF(AND('Mapa final'!#REF!="Muy Alta",'Mapa final'!#REF!="Catastrófico"),CONCATENATE("R7C",'Mapa final'!#REF!),"")</f>
        <v>#REF!</v>
      </c>
      <c r="AN12" s="64"/>
      <c r="AO12" s="149"/>
      <c r="AT12" s="150"/>
    </row>
    <row r="13" customHeight="1" spans="2:46">
      <c r="B13" s="63"/>
      <c r="D13" s="100"/>
      <c r="E13" s="103"/>
      <c r="I13" s="100"/>
      <c r="J13" s="111" t="e">
        <f>IF(AND('Mapa final'!#REF!="Muy Alta",'Mapa final'!#REF!="Leve"),CONCATENATE("R8C",'Mapa final'!#REF!),"")</f>
        <v>#REF!</v>
      </c>
      <c r="K13" s="112" t="e">
        <f>IF(AND('Mapa final'!#REF!="Muy Alta",'Mapa final'!#REF!="Leve"),CONCATENATE("R8C",'Mapa final'!#REF!),"")</f>
        <v>#REF!</v>
      </c>
      <c r="L13" s="112" t="e">
        <f>IF(AND('Mapa final'!#REF!="Muy Alta",'Mapa final'!#REF!="Leve"),CONCATENATE("R8C",'Mapa final'!#REF!),"")</f>
        <v>#REF!</v>
      </c>
      <c r="M13" s="112" t="e">
        <f>IF(AND('Mapa final'!#REF!="Muy Alta",'Mapa final'!#REF!="Leve"),CONCATENATE("R8C",'Mapa final'!#REF!),"")</f>
        <v>#REF!</v>
      </c>
      <c r="N13" s="112" t="e">
        <f>IF(AND('Mapa final'!#REF!="Muy Alta",'Mapa final'!#REF!="Leve"),CONCATENATE("R8C",'Mapa final'!#REF!),"")</f>
        <v>#REF!</v>
      </c>
      <c r="O13" s="113" t="e">
        <f>IF(AND('Mapa final'!#REF!="Muy Alta",'Mapa final'!#REF!="Leve"),CONCATENATE("R8C",'Mapa final'!#REF!),"")</f>
        <v>#REF!</v>
      </c>
      <c r="P13" s="111" t="e">
        <f>IF(AND('Mapa final'!#REF!="Muy Alta",'Mapa final'!#REF!="Menor"),CONCATENATE("R8C",'Mapa final'!#REF!),"")</f>
        <v>#REF!</v>
      </c>
      <c r="Q13" s="112" t="e">
        <f>IF(AND('Mapa final'!#REF!="Muy Alta",'Mapa final'!#REF!="Menor"),CONCATENATE("R8C",'Mapa final'!#REF!),"")</f>
        <v>#REF!</v>
      </c>
      <c r="R13" s="112" t="e">
        <f>IF(AND('Mapa final'!#REF!="Muy Alta",'Mapa final'!#REF!="Menor"),CONCATENATE("R8C",'Mapa final'!#REF!),"")</f>
        <v>#REF!</v>
      </c>
      <c r="S13" s="112" t="e">
        <f>IF(AND('Mapa final'!#REF!="Muy Alta",'Mapa final'!#REF!="Menor"),CONCATENATE("R8C",'Mapa final'!#REF!),"")</f>
        <v>#REF!</v>
      </c>
      <c r="T13" s="112" t="e">
        <f>IF(AND('Mapa final'!#REF!="Muy Alta",'Mapa final'!#REF!="Menor"),CONCATENATE("R8C",'Mapa final'!#REF!),"")</f>
        <v>#REF!</v>
      </c>
      <c r="U13" s="113" t="e">
        <f>IF(AND('Mapa final'!#REF!="Muy Alta",'Mapa final'!#REF!="Menor"),CONCATENATE("R8C",'Mapa final'!#REF!),"")</f>
        <v>#REF!</v>
      </c>
      <c r="V13" s="111" t="e">
        <f>IF(AND('Mapa final'!#REF!="Muy Alta",'Mapa final'!#REF!="Moderado"),CONCATENATE("R8C",'Mapa final'!#REF!),"")</f>
        <v>#REF!</v>
      </c>
      <c r="W13" s="112" t="e">
        <f>IF(AND('Mapa final'!#REF!="Muy Alta",'Mapa final'!#REF!="Moderado"),CONCATENATE("R8C",'Mapa final'!#REF!),"")</f>
        <v>#REF!</v>
      </c>
      <c r="X13" s="112" t="e">
        <f>IF(AND('Mapa final'!#REF!="Muy Alta",'Mapa final'!#REF!="Moderado"),CONCATENATE("R8C",'Mapa final'!#REF!),"")</f>
        <v>#REF!</v>
      </c>
      <c r="Y13" s="112" t="e">
        <f>IF(AND('Mapa final'!#REF!="Muy Alta",'Mapa final'!#REF!="Moderado"),CONCATENATE("R8C",'Mapa final'!#REF!),"")</f>
        <v>#REF!</v>
      </c>
      <c r="Z13" s="112" t="e">
        <f>IF(AND('Mapa final'!#REF!="Muy Alta",'Mapa final'!#REF!="Moderado"),CONCATENATE("R8C",'Mapa final'!#REF!),"")</f>
        <v>#REF!</v>
      </c>
      <c r="AA13" s="113" t="e">
        <f>IF(AND('Mapa final'!#REF!="Muy Alta",'Mapa final'!#REF!="Moderado"),CONCATENATE("R8C",'Mapa final'!#REF!),"")</f>
        <v>#REF!</v>
      </c>
      <c r="AB13" s="111" t="e">
        <f>IF(AND('Mapa final'!#REF!="Muy Alta",'Mapa final'!#REF!="Mayor"),CONCATENATE("R8C",'Mapa final'!#REF!),"")</f>
        <v>#REF!</v>
      </c>
      <c r="AC13" s="112" t="e">
        <f>IF(AND('Mapa final'!#REF!="Muy Alta",'Mapa final'!#REF!="Mayor"),CONCATENATE("R8C",'Mapa final'!#REF!),"")</f>
        <v>#REF!</v>
      </c>
      <c r="AD13" s="112" t="e">
        <f>IF(AND('Mapa final'!#REF!="Muy Alta",'Mapa final'!#REF!="Mayor"),CONCATENATE("R8C",'Mapa final'!#REF!),"")</f>
        <v>#REF!</v>
      </c>
      <c r="AE13" s="112" t="e">
        <f>IF(AND('Mapa final'!#REF!="Muy Alta",'Mapa final'!#REF!="Mayor"),CONCATENATE("R8C",'Mapa final'!#REF!),"")</f>
        <v>#REF!</v>
      </c>
      <c r="AF13" s="112" t="e">
        <f>IF(AND('Mapa final'!#REF!="Muy Alta",'Mapa final'!#REF!="Mayor"),CONCATENATE("R8C",'Mapa final'!#REF!),"")</f>
        <v>#REF!</v>
      </c>
      <c r="AG13" s="113" t="e">
        <f>IF(AND('Mapa final'!#REF!="Muy Alta",'Mapa final'!#REF!="Mayor"),CONCATENATE("R8C",'Mapa final'!#REF!),"")</f>
        <v>#REF!</v>
      </c>
      <c r="AH13" s="140" t="e">
        <f>IF(AND('Mapa final'!#REF!="Muy Alta",'Mapa final'!#REF!="Catastrófico"),CONCATENATE("R8C",'Mapa final'!#REF!),"")</f>
        <v>#REF!</v>
      </c>
      <c r="AI13" s="141" t="e">
        <f>IF(AND('Mapa final'!#REF!="Muy Alta",'Mapa final'!#REF!="Catastrófico"),CONCATENATE("R8C",'Mapa final'!#REF!),"")</f>
        <v>#REF!</v>
      </c>
      <c r="AJ13" s="141" t="e">
        <f>IF(AND('Mapa final'!#REF!="Muy Alta",'Mapa final'!#REF!="Catastrófico"),CONCATENATE("R8C",'Mapa final'!#REF!),"")</f>
        <v>#REF!</v>
      </c>
      <c r="AK13" s="141" t="e">
        <f>IF(AND('Mapa final'!#REF!="Muy Alta",'Mapa final'!#REF!="Catastrófico"),CONCATENATE("R8C",'Mapa final'!#REF!),"")</f>
        <v>#REF!</v>
      </c>
      <c r="AL13" s="141" t="e">
        <f>IF(AND('Mapa final'!#REF!="Muy Alta",'Mapa final'!#REF!="Catastrófico"),CONCATENATE("R8C",'Mapa final'!#REF!),"")</f>
        <v>#REF!</v>
      </c>
      <c r="AM13" s="142" t="e">
        <f>IF(AND('Mapa final'!#REF!="Muy Alta",'Mapa final'!#REF!="Catastrófico"),CONCATENATE("R8C",'Mapa final'!#REF!),"")</f>
        <v>#REF!</v>
      </c>
      <c r="AN13" s="64"/>
      <c r="AO13" s="149"/>
      <c r="AT13" s="150"/>
    </row>
    <row r="14" customHeight="1" spans="2:46">
      <c r="B14" s="63"/>
      <c r="D14" s="100"/>
      <c r="E14" s="103"/>
      <c r="I14" s="100"/>
      <c r="J14" s="111" t="e">
        <f>IF(AND('Mapa final'!#REF!="Muy Alta",'Mapa final'!#REF!="Leve"),CONCATENATE("R9C",'Mapa final'!#REF!),"")</f>
        <v>#REF!</v>
      </c>
      <c r="K14" s="112" t="e">
        <f>IF(AND('Mapa final'!#REF!="Muy Alta",'Mapa final'!#REF!="Leve"),CONCATENATE("R9C",'Mapa final'!#REF!),"")</f>
        <v>#REF!</v>
      </c>
      <c r="L14" s="112" t="e">
        <f>IF(AND('Mapa final'!#REF!="Muy Alta",'Mapa final'!#REF!="Leve"),CONCATENATE("R9C",'Mapa final'!#REF!),"")</f>
        <v>#REF!</v>
      </c>
      <c r="M14" s="112" t="e">
        <f>IF(AND('Mapa final'!#REF!="Muy Alta",'Mapa final'!#REF!="Leve"),CONCATENATE("R9C",'Mapa final'!#REF!),"")</f>
        <v>#REF!</v>
      </c>
      <c r="N14" s="112" t="e">
        <f>IF(AND('Mapa final'!#REF!="Muy Alta",'Mapa final'!#REF!="Leve"),CONCATENATE("R9C",'Mapa final'!#REF!),"")</f>
        <v>#REF!</v>
      </c>
      <c r="O14" s="113" t="e">
        <f>IF(AND('Mapa final'!#REF!="Muy Alta",'Mapa final'!#REF!="Leve"),CONCATENATE("R9C",'Mapa final'!#REF!),"")</f>
        <v>#REF!</v>
      </c>
      <c r="P14" s="111" t="e">
        <f>IF(AND('Mapa final'!#REF!="Muy Alta",'Mapa final'!#REF!="Menor"),CONCATENATE("R9C",'Mapa final'!#REF!),"")</f>
        <v>#REF!</v>
      </c>
      <c r="Q14" s="112" t="e">
        <f>IF(AND('Mapa final'!#REF!="Muy Alta",'Mapa final'!#REF!="Menor"),CONCATENATE("R9C",'Mapa final'!#REF!),"")</f>
        <v>#REF!</v>
      </c>
      <c r="R14" s="112" t="e">
        <f>IF(AND('Mapa final'!#REF!="Muy Alta",'Mapa final'!#REF!="Menor"),CONCATENATE("R9C",'Mapa final'!#REF!),"")</f>
        <v>#REF!</v>
      </c>
      <c r="S14" s="112" t="e">
        <f>IF(AND('Mapa final'!#REF!="Muy Alta",'Mapa final'!#REF!="Menor"),CONCATENATE("R9C",'Mapa final'!#REF!),"")</f>
        <v>#REF!</v>
      </c>
      <c r="T14" s="112" t="e">
        <f>IF(AND('Mapa final'!#REF!="Muy Alta",'Mapa final'!#REF!="Menor"),CONCATENATE("R9C",'Mapa final'!#REF!),"")</f>
        <v>#REF!</v>
      </c>
      <c r="U14" s="113" t="e">
        <f>IF(AND('Mapa final'!#REF!="Muy Alta",'Mapa final'!#REF!="Menor"),CONCATENATE("R9C",'Mapa final'!#REF!),"")</f>
        <v>#REF!</v>
      </c>
      <c r="V14" s="111" t="e">
        <f>IF(AND('Mapa final'!#REF!="Muy Alta",'Mapa final'!#REF!="Moderado"),CONCATENATE("R9C",'Mapa final'!#REF!),"")</f>
        <v>#REF!</v>
      </c>
      <c r="W14" s="112" t="e">
        <f>IF(AND('Mapa final'!#REF!="Muy Alta",'Mapa final'!#REF!="Moderado"),CONCATENATE("R9C",'Mapa final'!#REF!),"")</f>
        <v>#REF!</v>
      </c>
      <c r="X14" s="112" t="e">
        <f>IF(AND('Mapa final'!#REF!="Muy Alta",'Mapa final'!#REF!="Moderado"),CONCATENATE("R9C",'Mapa final'!#REF!),"")</f>
        <v>#REF!</v>
      </c>
      <c r="Y14" s="112" t="e">
        <f>IF(AND('Mapa final'!#REF!="Muy Alta",'Mapa final'!#REF!="Moderado"),CONCATENATE("R9C",'Mapa final'!#REF!),"")</f>
        <v>#REF!</v>
      </c>
      <c r="Z14" s="112" t="e">
        <f>IF(AND('Mapa final'!#REF!="Muy Alta",'Mapa final'!#REF!="Moderado"),CONCATENATE("R9C",'Mapa final'!#REF!),"")</f>
        <v>#REF!</v>
      </c>
      <c r="AA14" s="113" t="e">
        <f>IF(AND('Mapa final'!#REF!="Muy Alta",'Mapa final'!#REF!="Moderado"),CONCATENATE("R9C",'Mapa final'!#REF!),"")</f>
        <v>#REF!</v>
      </c>
      <c r="AB14" s="111" t="e">
        <f>IF(AND('Mapa final'!#REF!="Muy Alta",'Mapa final'!#REF!="Mayor"),CONCATENATE("R9C",'Mapa final'!#REF!),"")</f>
        <v>#REF!</v>
      </c>
      <c r="AC14" s="112" t="e">
        <f>IF(AND('Mapa final'!#REF!="Muy Alta",'Mapa final'!#REF!="Mayor"),CONCATENATE("R9C",'Mapa final'!#REF!),"")</f>
        <v>#REF!</v>
      </c>
      <c r="AD14" s="112" t="e">
        <f>IF(AND('Mapa final'!#REF!="Muy Alta",'Mapa final'!#REF!="Mayor"),CONCATENATE("R9C",'Mapa final'!#REF!),"")</f>
        <v>#REF!</v>
      </c>
      <c r="AE14" s="112" t="e">
        <f>IF(AND('Mapa final'!#REF!="Muy Alta",'Mapa final'!#REF!="Mayor"),CONCATENATE("R9C",'Mapa final'!#REF!),"")</f>
        <v>#REF!</v>
      </c>
      <c r="AF14" s="112" t="e">
        <f>IF(AND('Mapa final'!#REF!="Muy Alta",'Mapa final'!#REF!="Mayor"),CONCATENATE("R9C",'Mapa final'!#REF!),"")</f>
        <v>#REF!</v>
      </c>
      <c r="AG14" s="113" t="e">
        <f>IF(AND('Mapa final'!#REF!="Muy Alta",'Mapa final'!#REF!="Mayor"),CONCATENATE("R9C",'Mapa final'!#REF!),"")</f>
        <v>#REF!</v>
      </c>
      <c r="AH14" s="140" t="e">
        <f>IF(AND('Mapa final'!#REF!="Muy Alta",'Mapa final'!#REF!="Catastrófico"),CONCATENATE("R9C",'Mapa final'!#REF!),"")</f>
        <v>#REF!</v>
      </c>
      <c r="AI14" s="141" t="e">
        <f>IF(AND('Mapa final'!#REF!="Muy Alta",'Mapa final'!#REF!="Catastrófico"),CONCATENATE("R9C",'Mapa final'!#REF!),"")</f>
        <v>#REF!</v>
      </c>
      <c r="AJ14" s="141" t="e">
        <f>IF(AND('Mapa final'!#REF!="Muy Alta",'Mapa final'!#REF!="Catastrófico"),CONCATENATE("R9C",'Mapa final'!#REF!),"")</f>
        <v>#REF!</v>
      </c>
      <c r="AK14" s="141" t="e">
        <f>IF(AND('Mapa final'!#REF!="Muy Alta",'Mapa final'!#REF!="Catastrófico"),CONCATENATE("R9C",'Mapa final'!#REF!),"")</f>
        <v>#REF!</v>
      </c>
      <c r="AL14" s="141" t="e">
        <f>IF(AND('Mapa final'!#REF!="Muy Alta",'Mapa final'!#REF!="Catastrófico"),CONCATENATE("R9C",'Mapa final'!#REF!),"")</f>
        <v>#REF!</v>
      </c>
      <c r="AM14" s="142" t="e">
        <f>IF(AND('Mapa final'!#REF!="Muy Alta",'Mapa final'!#REF!="Catastrófico"),CONCATENATE("R9C",'Mapa final'!#REF!),"")</f>
        <v>#REF!</v>
      </c>
      <c r="AN14" s="64"/>
      <c r="AO14" s="149"/>
      <c r="AT14" s="150"/>
    </row>
    <row r="15" ht="15.75" customHeight="1" spans="2:46">
      <c r="B15" s="63"/>
      <c r="D15" s="100"/>
      <c r="E15" s="104"/>
      <c r="F15" s="105"/>
      <c r="G15" s="105"/>
      <c r="H15" s="105"/>
      <c r="I15" s="114"/>
      <c r="J15" s="115" t="e">
        <f>IF(AND('Mapa final'!#REF!="Muy Alta",'Mapa final'!#REF!="Leve"),CONCATENATE("R10C",'Mapa final'!#REF!),"")</f>
        <v>#REF!</v>
      </c>
      <c r="K15" s="116" t="e">
        <f>IF(AND('Mapa final'!#REF!="Muy Alta",'Mapa final'!#REF!="Leve"),CONCATENATE("R10C",'Mapa final'!#REF!),"")</f>
        <v>#REF!</v>
      </c>
      <c r="L15" s="116" t="e">
        <f>IF(AND('Mapa final'!#REF!="Muy Alta",'Mapa final'!#REF!="Leve"),CONCATENATE("R10C",'Mapa final'!#REF!),"")</f>
        <v>#REF!</v>
      </c>
      <c r="M15" s="116" t="e">
        <f>IF(AND('Mapa final'!#REF!="Muy Alta",'Mapa final'!#REF!="Leve"),CONCATENATE("R10C",'Mapa final'!#REF!),"")</f>
        <v>#REF!</v>
      </c>
      <c r="N15" s="116" t="e">
        <f>IF(AND('Mapa final'!#REF!="Muy Alta",'Mapa final'!#REF!="Leve"),CONCATENATE("R10C",'Mapa final'!#REF!),"")</f>
        <v>#REF!</v>
      </c>
      <c r="O15" s="117" t="e">
        <f>IF(AND('Mapa final'!#REF!="Muy Alta",'Mapa final'!#REF!="Leve"),CONCATENATE("R10C",'Mapa final'!#REF!),"")</f>
        <v>#REF!</v>
      </c>
      <c r="P15" s="111" t="e">
        <f>IF(AND('Mapa final'!#REF!="Muy Alta",'Mapa final'!#REF!="Menor"),CONCATENATE("R10C",'Mapa final'!#REF!),"")</f>
        <v>#REF!</v>
      </c>
      <c r="Q15" s="112" t="e">
        <f>IF(AND('Mapa final'!#REF!="Muy Alta",'Mapa final'!#REF!="Menor"),CONCATENATE("R10C",'Mapa final'!#REF!),"")</f>
        <v>#REF!</v>
      </c>
      <c r="R15" s="112" t="e">
        <f>IF(AND('Mapa final'!#REF!="Muy Alta",'Mapa final'!#REF!="Menor"),CONCATENATE("R10C",'Mapa final'!#REF!),"")</f>
        <v>#REF!</v>
      </c>
      <c r="S15" s="112" t="e">
        <f>IF(AND('Mapa final'!#REF!="Muy Alta",'Mapa final'!#REF!="Menor"),CONCATENATE("R10C",'Mapa final'!#REF!),"")</f>
        <v>#REF!</v>
      </c>
      <c r="T15" s="112" t="e">
        <f>IF(AND('Mapa final'!#REF!="Muy Alta",'Mapa final'!#REF!="Menor"),CONCATENATE("R10C",'Mapa final'!#REF!),"")</f>
        <v>#REF!</v>
      </c>
      <c r="U15" s="113" t="e">
        <f>IF(AND('Mapa final'!#REF!="Muy Alta",'Mapa final'!#REF!="Menor"),CONCATENATE("R10C",'Mapa final'!#REF!),"")</f>
        <v>#REF!</v>
      </c>
      <c r="V15" s="115" t="e">
        <f>IF(AND('Mapa final'!#REF!="Muy Alta",'Mapa final'!#REF!="Moderado"),CONCATENATE("R10C",'Mapa final'!#REF!),"")</f>
        <v>#REF!</v>
      </c>
      <c r="W15" s="116" t="e">
        <f>IF(AND('Mapa final'!#REF!="Muy Alta",'Mapa final'!#REF!="Moderado"),CONCATENATE("R10C",'Mapa final'!#REF!),"")</f>
        <v>#REF!</v>
      </c>
      <c r="X15" s="116" t="e">
        <f>IF(AND('Mapa final'!#REF!="Muy Alta",'Mapa final'!#REF!="Moderado"),CONCATENATE("R10C",'Mapa final'!#REF!),"")</f>
        <v>#REF!</v>
      </c>
      <c r="Y15" s="116" t="e">
        <f>IF(AND('Mapa final'!#REF!="Muy Alta",'Mapa final'!#REF!="Moderado"),CONCATENATE("R10C",'Mapa final'!#REF!),"")</f>
        <v>#REF!</v>
      </c>
      <c r="Z15" s="116" t="e">
        <f>IF(AND('Mapa final'!#REF!="Muy Alta",'Mapa final'!#REF!="Moderado"),CONCATENATE("R10C",'Mapa final'!#REF!),"")</f>
        <v>#REF!</v>
      </c>
      <c r="AA15" s="117" t="e">
        <f>IF(AND('Mapa final'!#REF!="Muy Alta",'Mapa final'!#REF!="Moderado"),CONCATENATE("R10C",'Mapa final'!#REF!),"")</f>
        <v>#REF!</v>
      </c>
      <c r="AB15" s="111" t="e">
        <f>IF(AND('Mapa final'!#REF!="Muy Alta",'Mapa final'!#REF!="Mayor"),CONCATENATE("R10C",'Mapa final'!#REF!),"")</f>
        <v>#REF!</v>
      </c>
      <c r="AC15" s="112" t="e">
        <f>IF(AND('Mapa final'!#REF!="Muy Alta",'Mapa final'!#REF!="Mayor"),CONCATENATE("R10C",'Mapa final'!#REF!),"")</f>
        <v>#REF!</v>
      </c>
      <c r="AD15" s="112" t="e">
        <f>IF(AND('Mapa final'!#REF!="Muy Alta",'Mapa final'!#REF!="Mayor"),CONCATENATE("R10C",'Mapa final'!#REF!),"")</f>
        <v>#REF!</v>
      </c>
      <c r="AE15" s="112" t="e">
        <f>IF(AND('Mapa final'!#REF!="Muy Alta",'Mapa final'!#REF!="Mayor"),CONCATENATE("R10C",'Mapa final'!#REF!),"")</f>
        <v>#REF!</v>
      </c>
      <c r="AF15" s="112" t="e">
        <f>IF(AND('Mapa final'!#REF!="Muy Alta",'Mapa final'!#REF!="Mayor"),CONCATENATE("R10C",'Mapa final'!#REF!),"")</f>
        <v>#REF!</v>
      </c>
      <c r="AG15" s="113" t="e">
        <f>IF(AND('Mapa final'!#REF!="Muy Alta",'Mapa final'!#REF!="Mayor"),CONCATENATE("R10C",'Mapa final'!#REF!),"")</f>
        <v>#REF!</v>
      </c>
      <c r="AH15" s="143" t="e">
        <f>IF(AND('Mapa final'!#REF!="Muy Alta",'Mapa final'!#REF!="Catastrófico"),CONCATENATE("R10C",'Mapa final'!#REF!),"")</f>
        <v>#REF!</v>
      </c>
      <c r="AI15" s="144" t="e">
        <f>IF(AND('Mapa final'!#REF!="Muy Alta",'Mapa final'!#REF!="Catastrófico"),CONCATENATE("R10C",'Mapa final'!#REF!),"")</f>
        <v>#REF!</v>
      </c>
      <c r="AJ15" s="144" t="e">
        <f>IF(AND('Mapa final'!#REF!="Muy Alta",'Mapa final'!#REF!="Catastrófico"),CONCATENATE("R10C",'Mapa final'!#REF!),"")</f>
        <v>#REF!</v>
      </c>
      <c r="AK15" s="144" t="e">
        <f>IF(AND('Mapa final'!#REF!="Muy Alta",'Mapa final'!#REF!="Catastrófico"),CONCATENATE("R10C",'Mapa final'!#REF!),"")</f>
        <v>#REF!</v>
      </c>
      <c r="AL15" s="144" t="e">
        <f>IF(AND('Mapa final'!#REF!="Muy Alta",'Mapa final'!#REF!="Catastrófico"),CONCATENATE("R10C",'Mapa final'!#REF!),"")</f>
        <v>#REF!</v>
      </c>
      <c r="AM15" s="145" t="e">
        <f>IF(AND('Mapa final'!#REF!="Muy Alta",'Mapa final'!#REF!="Catastrófico"),CONCATENATE("R10C",'Mapa final'!#REF!),"")</f>
        <v>#REF!</v>
      </c>
      <c r="AN15" s="64"/>
      <c r="AO15" s="151"/>
      <c r="AP15" s="152"/>
      <c r="AQ15" s="152"/>
      <c r="AR15" s="152"/>
      <c r="AS15" s="152"/>
      <c r="AT15" s="153"/>
    </row>
    <row r="16" customHeight="1" spans="2:46">
      <c r="B16" s="63"/>
      <c r="D16" s="100"/>
      <c r="E16" s="101" t="s">
        <v>133</v>
      </c>
      <c r="F16" s="102"/>
      <c r="G16" s="102"/>
      <c r="H16" s="102"/>
      <c r="I16" s="102"/>
      <c r="J16" s="118" t="str">
        <f>IF(AND('Mapa final'!$Y$16="Alta",'Mapa final'!$AA$16="Leve"),CONCATENATE("R1C",'Mapa final'!$O$16),"")</f>
        <v/>
      </c>
      <c r="K16" s="119" t="str">
        <f>IF(AND('Mapa final'!$Y$17="Alta",'Mapa final'!$AA$17="Leve"),CONCATENATE("R1C",'Mapa final'!$O$17),"")</f>
        <v/>
      </c>
      <c r="L16" s="119" t="str">
        <f>IF(AND('Mapa final'!$Y$18="Alta",'Mapa final'!$AA$18="Leve"),CONCATENATE("R1C",'Mapa final'!$O$18),"")</f>
        <v/>
      </c>
      <c r="M16" s="119" t="e">
        <f>IF(AND('Mapa final'!#REF!="Alta",'Mapa final'!#REF!="Leve"),CONCATENATE("R1C",'Mapa final'!#REF!),"")</f>
        <v>#REF!</v>
      </c>
      <c r="N16" s="119" t="e">
        <f>IF(AND('Mapa final'!#REF!="Alta",'Mapa final'!#REF!="Leve"),CONCATENATE("R1C",'Mapa final'!#REF!),"")</f>
        <v>#REF!</v>
      </c>
      <c r="O16" s="120" t="e">
        <f>IF(AND('Mapa final'!#REF!="Alta",'Mapa final'!#REF!="Leve"),CONCATENATE("R1C",'Mapa final'!#REF!),"")</f>
        <v>#REF!</v>
      </c>
      <c r="P16" s="118" t="str">
        <f>IF(AND('Mapa final'!$Y$16="Alta",'Mapa final'!$AA$16="Menor"),CONCATENATE("R1C",'Mapa final'!$O$16),"")</f>
        <v/>
      </c>
      <c r="Q16" s="119" t="str">
        <f>IF(AND('Mapa final'!$Y$17="Alta",'Mapa final'!$AA$17="Menor"),CONCATENATE("R1C",'Mapa final'!$O$17),"")</f>
        <v/>
      </c>
      <c r="R16" s="119" t="str">
        <f>IF(AND('Mapa final'!$Y$18="Alta",'Mapa final'!$AA$18="Menor"),CONCATENATE("R1C",'Mapa final'!$O$18),"")</f>
        <v/>
      </c>
      <c r="S16" s="119" t="e">
        <f>IF(AND('Mapa final'!#REF!="Alta",'Mapa final'!#REF!="Menor"),CONCATENATE("R1C",'Mapa final'!#REF!),"")</f>
        <v>#REF!</v>
      </c>
      <c r="T16" s="119" t="e">
        <f>IF(AND('Mapa final'!#REF!="Alta",'Mapa final'!#REF!="Menor"),CONCATENATE("R1C",'Mapa final'!#REF!),"")</f>
        <v>#REF!</v>
      </c>
      <c r="U16" s="120" t="e">
        <f>IF(AND('Mapa final'!#REF!="Alta",'Mapa final'!#REF!="Menor"),CONCATENATE("R1C",'Mapa final'!#REF!),"")</f>
        <v>#REF!</v>
      </c>
      <c r="V16" s="108" t="str">
        <f>IF(AND('Mapa final'!$Y$16="Alta",'Mapa final'!$AA$16="Moderado"),CONCATENATE("R1C",'Mapa final'!$O$16),"")</f>
        <v/>
      </c>
      <c r="W16" s="109" t="str">
        <f>IF(AND('Mapa final'!$Y$17="Alta",'Mapa final'!$AA$17="Moderado"),CONCATENATE("R1C",'Mapa final'!$O$17),"")</f>
        <v/>
      </c>
      <c r="X16" s="109" t="str">
        <f>IF(AND('Mapa final'!$Y$18="Alta",'Mapa final'!$AA$18="Moderado"),CONCATENATE("R1C",'Mapa final'!$O$18),"")</f>
        <v/>
      </c>
      <c r="Y16" s="109" t="e">
        <f>IF(AND('Mapa final'!#REF!="Alta",'Mapa final'!#REF!="Moderado"),CONCATENATE("R1C",'Mapa final'!#REF!),"")</f>
        <v>#REF!</v>
      </c>
      <c r="Z16" s="109" t="e">
        <f>IF(AND('Mapa final'!#REF!="Alta",'Mapa final'!#REF!="Moderado"),CONCATENATE("R1C",'Mapa final'!#REF!),"")</f>
        <v>#REF!</v>
      </c>
      <c r="AA16" s="110" t="e">
        <f>IF(AND('Mapa final'!#REF!="Alta",'Mapa final'!#REF!="Moderado"),CONCATENATE("R1C",'Mapa final'!#REF!),"")</f>
        <v>#REF!</v>
      </c>
      <c r="AB16" s="108" t="str">
        <f>IF(AND('Mapa final'!$Y$16="Alta",'Mapa final'!$AA$16="Mayor"),CONCATENATE("R1C",'Mapa final'!$O$16),"")</f>
        <v/>
      </c>
      <c r="AC16" s="109" t="str">
        <f>IF(AND('Mapa final'!$Y$17="Alta",'Mapa final'!$AA$17="Mayor"),CONCATENATE("R1C",'Mapa final'!$O$17),"")</f>
        <v/>
      </c>
      <c r="AD16" s="109" t="str">
        <f>IF(AND('Mapa final'!$Y$18="Alta",'Mapa final'!$AA$18="Mayor"),CONCATENATE("R1C",'Mapa final'!$O$18),"")</f>
        <v/>
      </c>
      <c r="AE16" s="109" t="e">
        <f>IF(AND('Mapa final'!#REF!="Alta",'Mapa final'!#REF!="Mayor"),CONCATENATE("R1C",'Mapa final'!#REF!),"")</f>
        <v>#REF!</v>
      </c>
      <c r="AF16" s="109" t="e">
        <f>IF(AND('Mapa final'!#REF!="Alta",'Mapa final'!#REF!="Mayor"),CONCATENATE("R1C",'Mapa final'!#REF!),"")</f>
        <v>#REF!</v>
      </c>
      <c r="AG16" s="110" t="e">
        <f>IF(AND('Mapa final'!#REF!="Alta",'Mapa final'!#REF!="Mayor"),CONCATENATE("R1C",'Mapa final'!#REF!),"")</f>
        <v>#REF!</v>
      </c>
      <c r="AH16" s="137" t="str">
        <f>IF(AND('Mapa final'!$Y$16="Alta",'Mapa final'!$AA$16="Catastrófico"),CONCATENATE("R1C",'Mapa final'!$O$16),"")</f>
        <v/>
      </c>
      <c r="AI16" s="138" t="str">
        <f>IF(AND('Mapa final'!$Y$17="Alta",'Mapa final'!$AA$17="Catastrófico"),CONCATENATE("R1C",'Mapa final'!$O$17),"")</f>
        <v/>
      </c>
      <c r="AJ16" s="138" t="str">
        <f>IF(AND('Mapa final'!$Y$18="Alta",'Mapa final'!$AA$18="Catastrófico"),CONCATENATE("R1C",'Mapa final'!$O$18),"")</f>
        <v/>
      </c>
      <c r="AK16" s="138" t="e">
        <f>IF(AND('Mapa final'!#REF!="Alta",'Mapa final'!#REF!="Catastrófico"),CONCATENATE("R1C",'Mapa final'!#REF!),"")</f>
        <v>#REF!</v>
      </c>
      <c r="AL16" s="138" t="e">
        <f>IF(AND('Mapa final'!#REF!="Alta",'Mapa final'!#REF!="Catastrófico"),CONCATENATE("R1C",'Mapa final'!#REF!),"")</f>
        <v>#REF!</v>
      </c>
      <c r="AM16" s="139" t="e">
        <f>IF(AND('Mapa final'!#REF!="Alta",'Mapa final'!#REF!="Catastrófico"),CONCATENATE("R1C",'Mapa final'!#REF!),"")</f>
        <v>#REF!</v>
      </c>
      <c r="AN16" s="64"/>
      <c r="AO16" s="154" t="s">
        <v>134</v>
      </c>
      <c r="AP16" s="147"/>
      <c r="AQ16" s="147"/>
      <c r="AR16" s="147"/>
      <c r="AS16" s="147"/>
      <c r="AT16" s="148"/>
    </row>
    <row r="17" customHeight="1" spans="2:46">
      <c r="B17" s="63"/>
      <c r="D17" s="100"/>
      <c r="E17" s="103"/>
      <c r="J17" s="121" t="str">
        <f>IF(AND('Mapa final'!$Y$21="Alta",'Mapa final'!$AA$21="Leve"),CONCATENATE("R2C",'Mapa final'!$O$21),"")</f>
        <v/>
      </c>
      <c r="K17" s="122" t="e">
        <f>IF(AND('Mapa final'!#REF!="Alta",'Mapa final'!#REF!="Leve"),CONCATENATE("R2C",'Mapa final'!#REF!),"")</f>
        <v>#REF!</v>
      </c>
      <c r="L17" s="122" t="e">
        <f>IF(AND('Mapa final'!#REF!="Alta",'Mapa final'!#REF!="Leve"),CONCATENATE("R2C",'Mapa final'!#REF!),"")</f>
        <v>#REF!</v>
      </c>
      <c r="M17" s="122" t="e">
        <f>IF(AND('Mapa final'!#REF!="Alta",'Mapa final'!#REF!="Leve"),CONCATENATE("R2C",'Mapa final'!#REF!),"")</f>
        <v>#REF!</v>
      </c>
      <c r="N17" s="122" t="str">
        <f>IF(AND('Mapa final'!$Y$22="Alta",'Mapa final'!$AA$22="Leve"),CONCATENATE("R2C",'Mapa final'!$O$22),"")</f>
        <v/>
      </c>
      <c r="O17" s="123" t="str">
        <f>IF(AND('Mapa final'!$Y$23="Alta",'Mapa final'!$AA$23="Leve"),CONCATENATE("R2C",'Mapa final'!$O$23),"")</f>
        <v/>
      </c>
      <c r="P17" s="121" t="str">
        <f>IF(AND('Mapa final'!$Y$21="Alta",'Mapa final'!$AA$21="Menor"),CONCATENATE("R2C",'Mapa final'!$O$21),"")</f>
        <v/>
      </c>
      <c r="Q17" s="122" t="e">
        <f>IF(AND('Mapa final'!#REF!="Alta",'Mapa final'!#REF!="Menor"),CONCATENATE("R2C",'Mapa final'!#REF!),"")</f>
        <v>#REF!</v>
      </c>
      <c r="R17" s="122" t="e">
        <f>IF(AND('Mapa final'!#REF!="Alta",'Mapa final'!#REF!="Menor"),CONCATENATE("R2C",'Mapa final'!#REF!),"")</f>
        <v>#REF!</v>
      </c>
      <c r="S17" s="122" t="e">
        <f>IF(AND('Mapa final'!#REF!="Alta",'Mapa final'!#REF!="Menor"),CONCATENATE("R2C",'Mapa final'!#REF!),"")</f>
        <v>#REF!</v>
      </c>
      <c r="T17" s="122" t="str">
        <f>IF(AND('Mapa final'!$Y$22="Alta",'Mapa final'!$AA$22="Menor"),CONCATENATE("R2C",'Mapa final'!$O$22),"")</f>
        <v/>
      </c>
      <c r="U17" s="123" t="str">
        <f>IF(AND('Mapa final'!$Y$23="Alta",'Mapa final'!$AA$23="Menor"),CONCATENATE("R2C",'Mapa final'!$O$23),"")</f>
        <v/>
      </c>
      <c r="V17" s="111" t="str">
        <f>IF(AND('Mapa final'!$Y$21="Alta",'Mapa final'!$AA$21="Moderado"),CONCATENATE("R2C",'Mapa final'!$O$21),"")</f>
        <v/>
      </c>
      <c r="W17" s="112" t="e">
        <f>IF(AND('Mapa final'!#REF!="Alta",'Mapa final'!#REF!="Moderado"),CONCATENATE("R2C",'Mapa final'!#REF!),"")</f>
        <v>#REF!</v>
      </c>
      <c r="X17" s="112" t="e">
        <f>IF(AND('Mapa final'!#REF!="Alta",'Mapa final'!#REF!="Moderado"),CONCATENATE("R2C",'Mapa final'!#REF!),"")</f>
        <v>#REF!</v>
      </c>
      <c r="Y17" s="112" t="e">
        <f>IF(AND('Mapa final'!#REF!="Alta",'Mapa final'!#REF!="Moderado"),CONCATENATE("R2C",'Mapa final'!#REF!),"")</f>
        <v>#REF!</v>
      </c>
      <c r="Z17" s="112" t="str">
        <f>IF(AND('Mapa final'!$Y$22="Alta",'Mapa final'!$AA$22="Moderado"),CONCATENATE("R2C",'Mapa final'!$O$22),"")</f>
        <v/>
      </c>
      <c r="AA17" s="113" t="str">
        <f>IF(AND('Mapa final'!$Y$23="Alta",'Mapa final'!$AA$23="Moderado"),CONCATENATE("R2C",'Mapa final'!$O$23),"")</f>
        <v/>
      </c>
      <c r="AB17" s="111" t="str">
        <f>IF(AND('Mapa final'!$Y$21="Alta",'Mapa final'!$AA$21="Mayor"),CONCATENATE("R2C",'Mapa final'!$O$21),"")</f>
        <v/>
      </c>
      <c r="AC17" s="112" t="e">
        <f>IF(AND('Mapa final'!#REF!="Alta",'Mapa final'!#REF!="Mayor"),CONCATENATE("R2C",'Mapa final'!#REF!),"")</f>
        <v>#REF!</v>
      </c>
      <c r="AD17" s="112" t="e">
        <f>IF(AND('Mapa final'!#REF!="Alta",'Mapa final'!#REF!="Mayor"),CONCATENATE("R2C",'Mapa final'!#REF!),"")</f>
        <v>#REF!</v>
      </c>
      <c r="AE17" s="112" t="e">
        <f>IF(AND('Mapa final'!#REF!="Alta",'Mapa final'!#REF!="Mayor"),CONCATENATE("R2C",'Mapa final'!#REF!),"")</f>
        <v>#REF!</v>
      </c>
      <c r="AF17" s="112" t="str">
        <f>IF(AND('Mapa final'!$Y$22="Alta",'Mapa final'!$AA$22="Mayor"),CONCATENATE("R2C",'Mapa final'!$O$22),"")</f>
        <v/>
      </c>
      <c r="AG17" s="113" t="str">
        <f>IF(AND('Mapa final'!$Y$23="Alta",'Mapa final'!$AA$23="Mayor"),CONCATENATE("R2C",'Mapa final'!$O$23),"")</f>
        <v/>
      </c>
      <c r="AH17" s="140" t="str">
        <f>IF(AND('Mapa final'!$Y$21="Alta",'Mapa final'!$AA$21="Catastrófico"),CONCATENATE("R2C",'Mapa final'!$O$21),"")</f>
        <v/>
      </c>
      <c r="AI17" s="141" t="e">
        <f>IF(AND('Mapa final'!#REF!="Alta",'Mapa final'!#REF!="Catastrófico"),CONCATENATE("R2C",'Mapa final'!#REF!),"")</f>
        <v>#REF!</v>
      </c>
      <c r="AJ17" s="141" t="e">
        <f>IF(AND('Mapa final'!#REF!="Alta",'Mapa final'!#REF!="Catastrófico"),CONCATENATE("R2C",'Mapa final'!#REF!),"")</f>
        <v>#REF!</v>
      </c>
      <c r="AK17" s="141" t="e">
        <f>IF(AND('Mapa final'!#REF!="Alta",'Mapa final'!#REF!="Catastrófico"),CONCATENATE("R2C",'Mapa final'!#REF!),"")</f>
        <v>#REF!</v>
      </c>
      <c r="AL17" s="141" t="str">
        <f>IF(AND('Mapa final'!$Y$22="Alta",'Mapa final'!$AA$22="Catastrófico"),CONCATENATE("R2C",'Mapa final'!$O$22),"")</f>
        <v/>
      </c>
      <c r="AM17" s="142" t="str">
        <f>IF(AND('Mapa final'!$Y$23="Alta",'Mapa final'!$AA$23="Catastrófico"),CONCATENATE("R2C",'Mapa final'!$O$23),"")</f>
        <v/>
      </c>
      <c r="AN17" s="64"/>
      <c r="AO17" s="149"/>
      <c r="AT17" s="150"/>
    </row>
    <row r="18" customHeight="1" spans="2:46">
      <c r="B18" s="63"/>
      <c r="D18" s="100"/>
      <c r="E18" s="103"/>
      <c r="J18" s="121" t="str">
        <f>IF(AND('Mapa final'!$Y$26="Alta",'Mapa final'!$AA$26="Leve"),CONCATENATE("R3C",'Mapa final'!$O$26),"")</f>
        <v/>
      </c>
      <c r="K18" s="122" t="str">
        <f>IF(AND('Mapa final'!$Y$27="Alta",'Mapa final'!$AA$27="Leve"),CONCATENATE("R3C",'Mapa final'!$O$27),"")</f>
        <v/>
      </c>
      <c r="L18" s="122" t="str">
        <f>IF(AND('Mapa final'!$Y$28="Alta",'Mapa final'!$AA$28="Leve"),CONCATENATE("R3C",'Mapa final'!$O$28),"")</f>
        <v/>
      </c>
      <c r="M18" s="122" t="e">
        <f>IF(AND('Mapa final'!#REF!="Alta",'Mapa final'!#REF!="Leve"),CONCATENATE("R3C",'Mapa final'!#REF!),"")</f>
        <v>#REF!</v>
      </c>
      <c r="N18" s="122" t="e">
        <f>IF(AND('Mapa final'!#REF!="Alta",'Mapa final'!#REF!="Leve"),CONCATENATE("R3C",'Mapa final'!#REF!),"")</f>
        <v>#REF!</v>
      </c>
      <c r="O18" s="123" t="e">
        <f>IF(AND('Mapa final'!#REF!="Alta",'Mapa final'!#REF!="Leve"),CONCATENATE("R3C",'Mapa final'!#REF!),"")</f>
        <v>#REF!</v>
      </c>
      <c r="P18" s="121" t="str">
        <f>IF(AND('Mapa final'!$Y$26="Alta",'Mapa final'!$AA$26="Menor"),CONCATENATE("R3C",'Mapa final'!$O$26),"")</f>
        <v/>
      </c>
      <c r="Q18" s="122" t="str">
        <f>IF(AND('Mapa final'!$Y$27="Alta",'Mapa final'!$AA$27="Menor"),CONCATENATE("R3C",'Mapa final'!$O$27),"")</f>
        <v/>
      </c>
      <c r="R18" s="122" t="str">
        <f>IF(AND('Mapa final'!$Y$28="Alta",'Mapa final'!$AA$28="Menor"),CONCATENATE("R3C",'Mapa final'!$O$28),"")</f>
        <v/>
      </c>
      <c r="S18" s="122" t="e">
        <f>IF(AND('Mapa final'!#REF!="Alta",'Mapa final'!#REF!="Menor"),CONCATENATE("R3C",'Mapa final'!#REF!),"")</f>
        <v>#REF!</v>
      </c>
      <c r="T18" s="122" t="e">
        <f>IF(AND('Mapa final'!#REF!="Alta",'Mapa final'!#REF!="Menor"),CONCATENATE("R3C",'Mapa final'!#REF!),"")</f>
        <v>#REF!</v>
      </c>
      <c r="U18" s="123" t="e">
        <f>IF(AND('Mapa final'!#REF!="Alta",'Mapa final'!#REF!="Menor"),CONCATENATE("R3C",'Mapa final'!#REF!),"")</f>
        <v>#REF!</v>
      </c>
      <c r="V18" s="111" t="str">
        <f>IF(AND('Mapa final'!$Y$26="Alta",'Mapa final'!$AA$26="Moderado"),CONCATENATE("R3C",'Mapa final'!$O$26),"")</f>
        <v/>
      </c>
      <c r="W18" s="112" t="str">
        <f>IF(AND('Mapa final'!$Y$27="Alta",'Mapa final'!$AA$27="Moderado"),CONCATENATE("R3C",'Mapa final'!$O$27),"")</f>
        <v/>
      </c>
      <c r="X18" s="112" t="str">
        <f>IF(AND('Mapa final'!$Y$28="Alta",'Mapa final'!$AA$28="Moderado"),CONCATENATE("R3C",'Mapa final'!$O$28),"")</f>
        <v/>
      </c>
      <c r="Y18" s="112" t="e">
        <f>IF(AND('Mapa final'!#REF!="Alta",'Mapa final'!#REF!="Moderado"),CONCATENATE("R3C",'Mapa final'!#REF!),"")</f>
        <v>#REF!</v>
      </c>
      <c r="Z18" s="112" t="e">
        <f>IF(AND('Mapa final'!#REF!="Alta",'Mapa final'!#REF!="Moderado"),CONCATENATE("R3C",'Mapa final'!#REF!),"")</f>
        <v>#REF!</v>
      </c>
      <c r="AA18" s="113" t="e">
        <f>IF(AND('Mapa final'!#REF!="Alta",'Mapa final'!#REF!="Moderado"),CONCATENATE("R3C",'Mapa final'!#REF!),"")</f>
        <v>#REF!</v>
      </c>
      <c r="AB18" s="111" t="str">
        <f>IF(AND('Mapa final'!$Y$26="Alta",'Mapa final'!$AA$26="Mayor"),CONCATENATE("R3C",'Mapa final'!$O$26),"")</f>
        <v/>
      </c>
      <c r="AC18" s="112" t="str">
        <f>IF(AND('Mapa final'!$Y$27="Alta",'Mapa final'!$AA$27="Mayor"),CONCATENATE("R3C",'Mapa final'!$O$27),"")</f>
        <v/>
      </c>
      <c r="AD18" s="112" t="str">
        <f>IF(AND('Mapa final'!$Y$28="Alta",'Mapa final'!$AA$28="Mayor"),CONCATENATE("R3C",'Mapa final'!$O$28),"")</f>
        <v/>
      </c>
      <c r="AE18" s="112" t="e">
        <f>IF(AND('Mapa final'!#REF!="Alta",'Mapa final'!#REF!="Mayor"),CONCATENATE("R3C",'Mapa final'!#REF!),"")</f>
        <v>#REF!</v>
      </c>
      <c r="AF18" s="112" t="e">
        <f>IF(AND('Mapa final'!#REF!="Alta",'Mapa final'!#REF!="Mayor"),CONCATENATE("R3C",'Mapa final'!#REF!),"")</f>
        <v>#REF!</v>
      </c>
      <c r="AG18" s="113" t="e">
        <f>IF(AND('Mapa final'!#REF!="Alta",'Mapa final'!#REF!="Mayor"),CONCATENATE("R3C",'Mapa final'!#REF!),"")</f>
        <v>#REF!</v>
      </c>
      <c r="AH18" s="140" t="str">
        <f>IF(AND('Mapa final'!$Y$26="Alta",'Mapa final'!$AA$26="Catastrófico"),CONCATENATE("R3C",'Mapa final'!$O$26),"")</f>
        <v/>
      </c>
      <c r="AI18" s="141" t="str">
        <f>IF(AND('Mapa final'!$Y$27="Alta",'Mapa final'!$AA$27="Catastrófico"),CONCATENATE("R3C",'Mapa final'!$O$27),"")</f>
        <v/>
      </c>
      <c r="AJ18" s="141" t="str">
        <f>IF(AND('Mapa final'!$Y$28="Alta",'Mapa final'!$AA$28="Catastrófico"),CONCATENATE("R3C",'Mapa final'!$O$28),"")</f>
        <v/>
      </c>
      <c r="AK18" s="141" t="e">
        <f>IF(AND('Mapa final'!#REF!="Alta",'Mapa final'!#REF!="Catastrófico"),CONCATENATE("R3C",'Mapa final'!#REF!),"")</f>
        <v>#REF!</v>
      </c>
      <c r="AL18" s="141" t="e">
        <f>IF(AND('Mapa final'!#REF!="Alta",'Mapa final'!#REF!="Catastrófico"),CONCATENATE("R3C",'Mapa final'!#REF!),"")</f>
        <v>#REF!</v>
      </c>
      <c r="AM18" s="142" t="e">
        <f>IF(AND('Mapa final'!#REF!="Alta",'Mapa final'!#REF!="Catastrófico"),CONCATENATE("R3C",'Mapa final'!#REF!),"")</f>
        <v>#REF!</v>
      </c>
      <c r="AN18" s="64"/>
      <c r="AO18" s="149"/>
      <c r="AT18" s="150"/>
    </row>
    <row r="19" customHeight="1" spans="2:46">
      <c r="B19" s="63"/>
      <c r="D19" s="100"/>
      <c r="E19" s="103"/>
      <c r="J19" s="121" t="str">
        <f>IF(AND('Mapa final'!$Y$31="Alta",'Mapa final'!$AA$31="Leve"),CONCATENATE("R4C",'Mapa final'!$O$31),"")</f>
        <v/>
      </c>
      <c r="K19" s="122" t="str">
        <f>IF(AND('Mapa final'!$Y$32="Alta",'Mapa final'!$AA$32="Leve"),CONCATENATE("R4C",'Mapa final'!$O$32),"")</f>
        <v/>
      </c>
      <c r="L19" s="122" t="e">
        <f>IF(AND('Mapa final'!#REF!="Alta",'Mapa final'!#REF!="Leve"),CONCATENATE("R4C",'Mapa final'!#REF!),"")</f>
        <v>#REF!</v>
      </c>
      <c r="M19" s="122" t="str">
        <f>IF(AND('Mapa final'!$Y$33="Alta",'Mapa final'!$AA$33="Leve"),CONCATENATE("R4C",'Mapa final'!$O$33),"")</f>
        <v/>
      </c>
      <c r="N19" s="122" t="e">
        <f>IF(AND('Mapa final'!#REF!="Alta",'Mapa final'!#REF!="Leve"),CONCATENATE("R4C",'Mapa final'!#REF!),"")</f>
        <v>#REF!</v>
      </c>
      <c r="O19" s="123" t="e">
        <f>IF(AND('Mapa final'!#REF!="Alta",'Mapa final'!#REF!="Leve"),CONCATENATE("R4C",'Mapa final'!#REF!),"")</f>
        <v>#REF!</v>
      </c>
      <c r="P19" s="121" t="str">
        <f>IF(AND('Mapa final'!$Y$31="Alta",'Mapa final'!$AA$31="Menor"),CONCATENATE("R4C",'Mapa final'!$O$31),"")</f>
        <v/>
      </c>
      <c r="Q19" s="122" t="str">
        <f>IF(AND('Mapa final'!$Y$32="Alta",'Mapa final'!$AA$32="Menor"),CONCATENATE("R4C",'Mapa final'!$O$32),"")</f>
        <v/>
      </c>
      <c r="R19" s="122" t="e">
        <f>IF(AND('Mapa final'!#REF!="Alta",'Mapa final'!#REF!="Menor"),CONCATENATE("R4C",'Mapa final'!#REF!),"")</f>
        <v>#REF!</v>
      </c>
      <c r="S19" s="122" t="str">
        <f>IF(AND('Mapa final'!$Y$33="Alta",'Mapa final'!$AA$33="Menor"),CONCATENATE("R4C",'Mapa final'!$O$33),"")</f>
        <v/>
      </c>
      <c r="T19" s="122" t="e">
        <f>IF(AND('Mapa final'!#REF!="Alta",'Mapa final'!#REF!="Menor"),CONCATENATE("R4C",'Mapa final'!#REF!),"")</f>
        <v>#REF!</v>
      </c>
      <c r="U19" s="123" t="e">
        <f>IF(AND('Mapa final'!#REF!="Alta",'Mapa final'!#REF!="Menor"),CONCATENATE("R4C",'Mapa final'!#REF!),"")</f>
        <v>#REF!</v>
      </c>
      <c r="V19" s="111" t="str">
        <f>IF(AND('Mapa final'!$Y$31="Alta",'Mapa final'!$AA$31="Moderado"),CONCATENATE("R4C",'Mapa final'!$O$31),"")</f>
        <v/>
      </c>
      <c r="W19" s="112" t="str">
        <f>IF(AND('Mapa final'!$Y$32="Alta",'Mapa final'!$AA$32="Moderado"),CONCATENATE("R4C",'Mapa final'!$O$32),"")</f>
        <v/>
      </c>
      <c r="X19" s="112" t="e">
        <f>IF(AND('Mapa final'!#REF!="Alta",'Mapa final'!#REF!="Moderado"),CONCATENATE("R4C",'Mapa final'!#REF!),"")</f>
        <v>#REF!</v>
      </c>
      <c r="Y19" s="112" t="str">
        <f>IF(AND('Mapa final'!$Y$33="Alta",'Mapa final'!$AA$33="Moderado"),CONCATENATE("R4C",'Mapa final'!$O$33),"")</f>
        <v/>
      </c>
      <c r="Z19" s="112" t="e">
        <f>IF(AND('Mapa final'!#REF!="Alta",'Mapa final'!#REF!="Moderado"),CONCATENATE("R4C",'Mapa final'!#REF!),"")</f>
        <v>#REF!</v>
      </c>
      <c r="AA19" s="113" t="e">
        <f>IF(AND('Mapa final'!#REF!="Alta",'Mapa final'!#REF!="Moderado"),CONCATENATE("R4C",'Mapa final'!#REF!),"")</f>
        <v>#REF!</v>
      </c>
      <c r="AB19" s="111" t="str">
        <f>IF(AND('Mapa final'!$Y$31="Alta",'Mapa final'!$AA$31="Mayor"),CONCATENATE("R4C",'Mapa final'!$O$31),"")</f>
        <v/>
      </c>
      <c r="AC19" s="112" t="str">
        <f>IF(AND('Mapa final'!$Y$32="Alta",'Mapa final'!$AA$32="Mayor"),CONCATENATE("R4C",'Mapa final'!$O$32),"")</f>
        <v/>
      </c>
      <c r="AD19" s="112" t="e">
        <f>IF(AND('Mapa final'!#REF!="Alta",'Mapa final'!#REF!="Mayor"),CONCATENATE("R4C",'Mapa final'!#REF!),"")</f>
        <v>#REF!</v>
      </c>
      <c r="AE19" s="112" t="str">
        <f>IF(AND('Mapa final'!$Y$33="Alta",'Mapa final'!$AA$33="Mayor"),CONCATENATE("R4C",'Mapa final'!$O$33),"")</f>
        <v/>
      </c>
      <c r="AF19" s="112" t="e">
        <f>IF(AND('Mapa final'!#REF!="Alta",'Mapa final'!#REF!="Mayor"),CONCATENATE("R4C",'Mapa final'!#REF!),"")</f>
        <v>#REF!</v>
      </c>
      <c r="AG19" s="113" t="e">
        <f>IF(AND('Mapa final'!#REF!="Alta",'Mapa final'!#REF!="Mayor"),CONCATENATE("R4C",'Mapa final'!#REF!),"")</f>
        <v>#REF!</v>
      </c>
      <c r="AH19" s="140" t="str">
        <f>IF(AND('Mapa final'!$Y$31="Alta",'Mapa final'!$AA$31="Catastrófico"),CONCATENATE("R4C",'Mapa final'!$O$31),"")</f>
        <v/>
      </c>
      <c r="AI19" s="141" t="str">
        <f>IF(AND('Mapa final'!$Y$32="Alta",'Mapa final'!$AA$32="Catastrófico"),CONCATENATE("R4C",'Mapa final'!$O$32),"")</f>
        <v/>
      </c>
      <c r="AJ19" s="141" t="e">
        <f>IF(AND('Mapa final'!#REF!="Alta",'Mapa final'!#REF!="Catastrófico"),CONCATENATE("R4C",'Mapa final'!#REF!),"")</f>
        <v>#REF!</v>
      </c>
      <c r="AK19" s="141" t="str">
        <f>IF(AND('Mapa final'!$Y$33="Alta",'Mapa final'!$AA$33="Catastrófico"),CONCATENATE("R4C",'Mapa final'!$O$33),"")</f>
        <v/>
      </c>
      <c r="AL19" s="141" t="e">
        <f>IF(AND('Mapa final'!#REF!="Alta",'Mapa final'!#REF!="Catastrófico"),CONCATENATE("R4C",'Mapa final'!#REF!),"")</f>
        <v>#REF!</v>
      </c>
      <c r="AM19" s="142" t="e">
        <f>IF(AND('Mapa final'!#REF!="Alta",'Mapa final'!#REF!="Catastrófico"),CONCATENATE("R4C",'Mapa final'!#REF!),"")</f>
        <v>#REF!</v>
      </c>
      <c r="AN19" s="64"/>
      <c r="AO19" s="149"/>
      <c r="AT19" s="150"/>
    </row>
    <row r="20" customHeight="1" spans="2:46">
      <c r="B20" s="63"/>
      <c r="D20" s="100"/>
      <c r="E20" s="103"/>
      <c r="J20" s="121" t="str">
        <f>IF(AND('Mapa final'!$Y$36="Alta",'Mapa final'!$AA$36="Leve"),CONCATENATE("R5C",'Mapa final'!$O$36),"")</f>
        <v/>
      </c>
      <c r="K20" s="122" t="str">
        <f>IF(AND('Mapa final'!$Y$37="Alta",'Mapa final'!$AA$37="Leve"),CONCATENATE("R5C",'Mapa final'!$O$37),"")</f>
        <v/>
      </c>
      <c r="L20" s="122" t="str">
        <f>IF(AND('Mapa final'!$Y$38="Alta",'Mapa final'!$AA$38="Leve"),CONCATENATE("R5C",'Mapa final'!$O$38),"")</f>
        <v/>
      </c>
      <c r="M20" s="122" t="e">
        <f>IF(AND('Mapa final'!#REF!="Alta",'Mapa final'!#REF!="Leve"),CONCATENATE("R5C",'Mapa final'!#REF!),"")</f>
        <v>#REF!</v>
      </c>
      <c r="N20" s="122" t="e">
        <f>IF(AND('Mapa final'!#REF!="Alta",'Mapa final'!#REF!="Leve"),CONCATENATE("R5C",'Mapa final'!#REF!),"")</f>
        <v>#REF!</v>
      </c>
      <c r="O20" s="123" t="e">
        <f>IF(AND('Mapa final'!#REF!="Alta",'Mapa final'!#REF!="Leve"),CONCATENATE("R5C",'Mapa final'!#REF!),"")</f>
        <v>#REF!</v>
      </c>
      <c r="P20" s="121" t="str">
        <f>IF(AND('Mapa final'!$Y$36="Alta",'Mapa final'!$AA$36="Menor"),CONCATENATE("R5C",'Mapa final'!$O$36),"")</f>
        <v/>
      </c>
      <c r="Q20" s="122" t="str">
        <f>IF(AND('Mapa final'!$Y$37="Alta",'Mapa final'!$AA$37="Menor"),CONCATENATE("R5C",'Mapa final'!$O$37),"")</f>
        <v/>
      </c>
      <c r="R20" s="122" t="str">
        <f>IF(AND('Mapa final'!$Y$38="Alta",'Mapa final'!$AA$38="Menor"),CONCATENATE("R5C",'Mapa final'!$O$38),"")</f>
        <v/>
      </c>
      <c r="S20" s="122" t="e">
        <f>IF(AND('Mapa final'!#REF!="Alta",'Mapa final'!#REF!="Menor"),CONCATENATE("R5C",'Mapa final'!#REF!),"")</f>
        <v>#REF!</v>
      </c>
      <c r="T20" s="122" t="e">
        <f>IF(AND('Mapa final'!#REF!="Alta",'Mapa final'!#REF!="Menor"),CONCATENATE("R5C",'Mapa final'!#REF!),"")</f>
        <v>#REF!</v>
      </c>
      <c r="U20" s="123" t="e">
        <f>IF(AND('Mapa final'!#REF!="Alta",'Mapa final'!#REF!="Menor"),CONCATENATE("R5C",'Mapa final'!#REF!),"")</f>
        <v>#REF!</v>
      </c>
      <c r="V20" s="111" t="str">
        <f>IF(AND('Mapa final'!$Y$36="Alta",'Mapa final'!$AA$36="Moderado"),CONCATENATE("R5C",'Mapa final'!$O$36),"")</f>
        <v/>
      </c>
      <c r="W20" s="112" t="str">
        <f>IF(AND('Mapa final'!$Y$37="Alta",'Mapa final'!$AA$37="Moderado"),CONCATENATE("R5C",'Mapa final'!$O$37),"")</f>
        <v/>
      </c>
      <c r="X20" s="112" t="str">
        <f>IF(AND('Mapa final'!$Y$38="Alta",'Mapa final'!$AA$38="Moderado"),CONCATENATE("R5C",'Mapa final'!$O$38),"")</f>
        <v/>
      </c>
      <c r="Y20" s="112" t="e">
        <f>IF(AND('Mapa final'!#REF!="Alta",'Mapa final'!#REF!="Moderado"),CONCATENATE("R5C",'Mapa final'!#REF!),"")</f>
        <v>#REF!</v>
      </c>
      <c r="Z20" s="112" t="e">
        <f>IF(AND('Mapa final'!#REF!="Alta",'Mapa final'!#REF!="Moderado"),CONCATENATE("R5C",'Mapa final'!#REF!),"")</f>
        <v>#REF!</v>
      </c>
      <c r="AA20" s="113" t="e">
        <f>IF(AND('Mapa final'!#REF!="Alta",'Mapa final'!#REF!="Moderado"),CONCATENATE("R5C",'Mapa final'!#REF!),"")</f>
        <v>#REF!</v>
      </c>
      <c r="AB20" s="111" t="str">
        <f>IF(AND('Mapa final'!$Y$36="Alta",'Mapa final'!$AA$36="Mayor"),CONCATENATE("R5C",'Mapa final'!$O$36),"")</f>
        <v/>
      </c>
      <c r="AC20" s="112" t="str">
        <f>IF(AND('Mapa final'!$Y$37="Alta",'Mapa final'!$AA$37="Mayor"),CONCATENATE("R5C",'Mapa final'!$O$37),"")</f>
        <v/>
      </c>
      <c r="AD20" s="112" t="str">
        <f>IF(AND('Mapa final'!$Y$38="Alta",'Mapa final'!$AA$38="Mayor"),CONCATENATE("R5C",'Mapa final'!$O$38),"")</f>
        <v/>
      </c>
      <c r="AE20" s="112" t="e">
        <f>IF(AND('Mapa final'!#REF!="Alta",'Mapa final'!#REF!="Mayor"),CONCATENATE("R5C",'Mapa final'!#REF!),"")</f>
        <v>#REF!</v>
      </c>
      <c r="AF20" s="112" t="e">
        <f>IF(AND('Mapa final'!#REF!="Alta",'Mapa final'!#REF!="Mayor"),CONCATENATE("R5C",'Mapa final'!#REF!),"")</f>
        <v>#REF!</v>
      </c>
      <c r="AG20" s="113" t="e">
        <f>IF(AND('Mapa final'!#REF!="Alta",'Mapa final'!#REF!="Mayor"),CONCATENATE("R5C",'Mapa final'!#REF!),"")</f>
        <v>#REF!</v>
      </c>
      <c r="AH20" s="140" t="str">
        <f>IF(AND('Mapa final'!$Y$36="Alta",'Mapa final'!$AA$36="Catastrófico"),CONCATENATE("R5C",'Mapa final'!$O$36),"")</f>
        <v/>
      </c>
      <c r="AI20" s="141" t="str">
        <f>IF(AND('Mapa final'!$Y$37="Alta",'Mapa final'!$AA$37="Catastrófico"),CONCATENATE("R5C",'Mapa final'!$O$37),"")</f>
        <v/>
      </c>
      <c r="AJ20" s="141" t="str">
        <f>IF(AND('Mapa final'!$Y$38="Alta",'Mapa final'!$AA$38="Catastrófico"),CONCATENATE("R5C",'Mapa final'!$O$38),"")</f>
        <v/>
      </c>
      <c r="AK20" s="141" t="e">
        <f>IF(AND('Mapa final'!#REF!="Alta",'Mapa final'!#REF!="Catastrófico"),CONCATENATE("R5C",'Mapa final'!#REF!),"")</f>
        <v>#REF!</v>
      </c>
      <c r="AL20" s="141" t="e">
        <f>IF(AND('Mapa final'!#REF!="Alta",'Mapa final'!#REF!="Catastrófico"),CONCATENATE("R5C",'Mapa final'!#REF!),"")</f>
        <v>#REF!</v>
      </c>
      <c r="AM20" s="142" t="e">
        <f>IF(AND('Mapa final'!#REF!="Alta",'Mapa final'!#REF!="Catastrófico"),CONCATENATE("R5C",'Mapa final'!#REF!),"")</f>
        <v>#REF!</v>
      </c>
      <c r="AN20" s="64"/>
      <c r="AO20" s="149"/>
      <c r="AT20" s="150"/>
    </row>
    <row r="21" customHeight="1" spans="2:46">
      <c r="B21" s="63"/>
      <c r="D21" s="100"/>
      <c r="E21" s="103"/>
      <c r="J21" s="121" t="str">
        <f>IF(AND('Mapa final'!$Y$41="Alta",'Mapa final'!$AA$41="Leve"),CONCATENATE("R6C",'Mapa final'!$O$41),"")</f>
        <v/>
      </c>
      <c r="K21" s="122" t="str">
        <f>IF(AND('Mapa final'!$Y$42="Alta",'Mapa final'!$AA$42="Leve"),CONCATENATE("R6C",'Mapa final'!$O$42),"")</f>
        <v/>
      </c>
      <c r="L21" s="122" t="str">
        <f>IF(AND('Mapa final'!$Y$43="Alta",'Mapa final'!$AA$43="Leve"),CONCATENATE("R6C",'Mapa final'!$O$43),"")</f>
        <v/>
      </c>
      <c r="M21" s="122" t="e">
        <f>IF(AND('Mapa final'!#REF!="Alta",'Mapa final'!#REF!="Leve"),CONCATENATE("R6C",'Mapa final'!#REF!),"")</f>
        <v>#REF!</v>
      </c>
      <c r="N21" s="122" t="e">
        <f>IF(AND('Mapa final'!#REF!="Alta",'Mapa final'!#REF!="Leve"),CONCATENATE("R6C",'Mapa final'!#REF!),"")</f>
        <v>#REF!</v>
      </c>
      <c r="O21" s="123" t="e">
        <f>IF(AND('Mapa final'!#REF!="Alta",'Mapa final'!#REF!="Leve"),CONCATENATE("R6C",'Mapa final'!#REF!),"")</f>
        <v>#REF!</v>
      </c>
      <c r="P21" s="121" t="str">
        <f>IF(AND('Mapa final'!$Y$41="Alta",'Mapa final'!$AA$41="Menor"),CONCATENATE("R6C",'Mapa final'!$O$41),"")</f>
        <v/>
      </c>
      <c r="Q21" s="122" t="str">
        <f>IF(AND('Mapa final'!$Y$42="Alta",'Mapa final'!$AA$42="Menor"),CONCATENATE("R6C",'Mapa final'!$O$42),"")</f>
        <v/>
      </c>
      <c r="R21" s="122" t="str">
        <f>IF(AND('Mapa final'!$Y$43="Alta",'Mapa final'!$AA$43="Menor"),CONCATENATE("R6C",'Mapa final'!$O$43),"")</f>
        <v/>
      </c>
      <c r="S21" s="122" t="e">
        <f>IF(AND('Mapa final'!#REF!="Alta",'Mapa final'!#REF!="Menor"),CONCATENATE("R6C",'Mapa final'!#REF!),"")</f>
        <v>#REF!</v>
      </c>
      <c r="T21" s="122" t="e">
        <f>IF(AND('Mapa final'!#REF!="Alta",'Mapa final'!#REF!="Menor"),CONCATENATE("R6C",'Mapa final'!#REF!),"")</f>
        <v>#REF!</v>
      </c>
      <c r="U21" s="123" t="e">
        <f>IF(AND('Mapa final'!#REF!="Alta",'Mapa final'!#REF!="Menor"),CONCATENATE("R6C",'Mapa final'!#REF!),"")</f>
        <v>#REF!</v>
      </c>
      <c r="V21" s="111" t="str">
        <f>IF(AND('Mapa final'!$Y$41="Alta",'Mapa final'!$AA$41="Moderado"),CONCATENATE("R6C",'Mapa final'!$O$41),"")</f>
        <v/>
      </c>
      <c r="W21" s="112" t="str">
        <f>IF(AND('Mapa final'!$Y$42="Alta",'Mapa final'!$AA$42="Moderado"),CONCATENATE("R6C",'Mapa final'!$O$42),"")</f>
        <v/>
      </c>
      <c r="X21" s="112" t="str">
        <f>IF(AND('Mapa final'!$Y$43="Alta",'Mapa final'!$AA$43="Moderado"),CONCATENATE("R6C",'Mapa final'!$O$43),"")</f>
        <v/>
      </c>
      <c r="Y21" s="112" t="e">
        <f>IF(AND('Mapa final'!#REF!="Alta",'Mapa final'!#REF!="Moderado"),CONCATENATE("R6C",'Mapa final'!#REF!),"")</f>
        <v>#REF!</v>
      </c>
      <c r="Z21" s="112" t="e">
        <f>IF(AND('Mapa final'!#REF!="Alta",'Mapa final'!#REF!="Moderado"),CONCATENATE("R6C",'Mapa final'!#REF!),"")</f>
        <v>#REF!</v>
      </c>
      <c r="AA21" s="113" t="e">
        <f>IF(AND('Mapa final'!#REF!="Alta",'Mapa final'!#REF!="Moderado"),CONCATENATE("R6C",'Mapa final'!#REF!),"")</f>
        <v>#REF!</v>
      </c>
      <c r="AB21" s="111" t="str">
        <f>IF(AND('Mapa final'!$Y$41="Alta",'Mapa final'!$AA$41="Mayor"),CONCATENATE("R6C",'Mapa final'!$O$41),"")</f>
        <v/>
      </c>
      <c r="AC21" s="112" t="str">
        <f>IF(AND('Mapa final'!$Y$42="Alta",'Mapa final'!$AA$42="Mayor"),CONCATENATE("R6C",'Mapa final'!$O$42),"")</f>
        <v/>
      </c>
      <c r="AD21" s="112" t="str">
        <f>IF(AND('Mapa final'!$Y$43="Alta",'Mapa final'!$AA$43="Mayor"),CONCATENATE("R6C",'Mapa final'!$O$43),"")</f>
        <v/>
      </c>
      <c r="AE21" s="112" t="e">
        <f>IF(AND('Mapa final'!#REF!="Alta",'Mapa final'!#REF!="Mayor"),CONCATENATE("R6C",'Mapa final'!#REF!),"")</f>
        <v>#REF!</v>
      </c>
      <c r="AF21" s="112" t="e">
        <f>IF(AND('Mapa final'!#REF!="Alta",'Mapa final'!#REF!="Mayor"),CONCATENATE("R6C",'Mapa final'!#REF!),"")</f>
        <v>#REF!</v>
      </c>
      <c r="AG21" s="113" t="e">
        <f>IF(AND('Mapa final'!#REF!="Alta",'Mapa final'!#REF!="Mayor"),CONCATENATE("R6C",'Mapa final'!#REF!),"")</f>
        <v>#REF!</v>
      </c>
      <c r="AH21" s="140" t="str">
        <f>IF(AND('Mapa final'!$Y$41="Alta",'Mapa final'!$AA$41="Catastrófico"),CONCATENATE("R6C",'Mapa final'!$O$41),"")</f>
        <v/>
      </c>
      <c r="AI21" s="141" t="str">
        <f>IF(AND('Mapa final'!$Y$42="Alta",'Mapa final'!$AA$42="Catastrófico"),CONCATENATE("R6C",'Mapa final'!$O$42),"")</f>
        <v/>
      </c>
      <c r="AJ21" s="141" t="str">
        <f>IF(AND('Mapa final'!$Y$43="Alta",'Mapa final'!$AA$43="Catastrófico"),CONCATENATE("R6C",'Mapa final'!$O$43),"")</f>
        <v/>
      </c>
      <c r="AK21" s="141" t="e">
        <f>IF(AND('Mapa final'!#REF!="Alta",'Mapa final'!#REF!="Catastrófico"),CONCATENATE("R6C",'Mapa final'!#REF!),"")</f>
        <v>#REF!</v>
      </c>
      <c r="AL21" s="141" t="e">
        <f>IF(AND('Mapa final'!#REF!="Alta",'Mapa final'!#REF!="Catastrófico"),CONCATENATE("R6C",'Mapa final'!#REF!),"")</f>
        <v>#REF!</v>
      </c>
      <c r="AM21" s="142" t="e">
        <f>IF(AND('Mapa final'!#REF!="Alta",'Mapa final'!#REF!="Catastrófico"),CONCATENATE("R6C",'Mapa final'!#REF!),"")</f>
        <v>#REF!</v>
      </c>
      <c r="AN21" s="64"/>
      <c r="AO21" s="149"/>
      <c r="AT21" s="150"/>
    </row>
    <row r="22" customHeight="1" spans="2:46">
      <c r="B22" s="63"/>
      <c r="D22" s="100"/>
      <c r="E22" s="103"/>
      <c r="J22" s="121" t="e">
        <f>IF(AND('Mapa final'!#REF!="Alta",'Mapa final'!#REF!="Leve"),CONCATENATE("R7C",'Mapa final'!#REF!),"")</f>
        <v>#REF!</v>
      </c>
      <c r="K22" s="122" t="e">
        <f>IF(AND('Mapa final'!#REF!="Alta",'Mapa final'!#REF!="Leve"),CONCATENATE("R7C",'Mapa final'!#REF!),"")</f>
        <v>#REF!</v>
      </c>
      <c r="L22" s="122" t="e">
        <f>IF(AND('Mapa final'!#REF!="Alta",'Mapa final'!#REF!="Leve"),CONCATENATE("R7C",'Mapa final'!#REF!),"")</f>
        <v>#REF!</v>
      </c>
      <c r="M22" s="122" t="e">
        <f>IF(AND('Mapa final'!#REF!="Alta",'Mapa final'!#REF!="Leve"),CONCATENATE("R7C",'Mapa final'!#REF!),"")</f>
        <v>#REF!</v>
      </c>
      <c r="N22" s="122" t="e">
        <f>IF(AND('Mapa final'!#REF!="Alta",'Mapa final'!#REF!="Leve"),CONCATENATE("R7C",'Mapa final'!#REF!),"")</f>
        <v>#REF!</v>
      </c>
      <c r="O22" s="123" t="e">
        <f>IF(AND('Mapa final'!#REF!="Alta",'Mapa final'!#REF!="Leve"),CONCATENATE("R7C",'Mapa final'!#REF!),"")</f>
        <v>#REF!</v>
      </c>
      <c r="P22" s="121" t="e">
        <f>IF(AND('Mapa final'!#REF!="Alta",'Mapa final'!#REF!="Menor"),CONCATENATE("R7C",'Mapa final'!#REF!),"")</f>
        <v>#REF!</v>
      </c>
      <c r="Q22" s="122" t="e">
        <f>IF(AND('Mapa final'!#REF!="Alta",'Mapa final'!#REF!="Menor"),CONCATENATE("R7C",'Mapa final'!#REF!),"")</f>
        <v>#REF!</v>
      </c>
      <c r="R22" s="122" t="e">
        <f>IF(AND('Mapa final'!#REF!="Alta",'Mapa final'!#REF!="Menor"),CONCATENATE("R7C",'Mapa final'!#REF!),"")</f>
        <v>#REF!</v>
      </c>
      <c r="S22" s="122" t="e">
        <f>IF(AND('Mapa final'!#REF!="Alta",'Mapa final'!#REF!="Menor"),CONCATENATE("R7C",'Mapa final'!#REF!),"")</f>
        <v>#REF!</v>
      </c>
      <c r="T22" s="122" t="e">
        <f>IF(AND('Mapa final'!#REF!="Alta",'Mapa final'!#REF!="Menor"),CONCATENATE("R7C",'Mapa final'!#REF!),"")</f>
        <v>#REF!</v>
      </c>
      <c r="U22" s="123" t="e">
        <f>IF(AND('Mapa final'!#REF!="Alta",'Mapa final'!#REF!="Menor"),CONCATENATE("R7C",'Mapa final'!#REF!),"")</f>
        <v>#REF!</v>
      </c>
      <c r="V22" s="111" t="e">
        <f>IF(AND('Mapa final'!#REF!="Alta",'Mapa final'!#REF!="Moderado"),CONCATENATE("R7C",'Mapa final'!#REF!),"")</f>
        <v>#REF!</v>
      </c>
      <c r="W22" s="112" t="e">
        <f>IF(AND('Mapa final'!#REF!="Alta",'Mapa final'!#REF!="Moderado"),CONCATENATE("R7C",'Mapa final'!#REF!),"")</f>
        <v>#REF!</v>
      </c>
      <c r="X22" s="112" t="e">
        <f>IF(AND('Mapa final'!#REF!="Alta",'Mapa final'!#REF!="Moderado"),CONCATENATE("R7C",'Mapa final'!#REF!),"")</f>
        <v>#REF!</v>
      </c>
      <c r="Y22" s="112" t="e">
        <f>IF(AND('Mapa final'!#REF!="Alta",'Mapa final'!#REF!="Moderado"),CONCATENATE("R7C",'Mapa final'!#REF!),"")</f>
        <v>#REF!</v>
      </c>
      <c r="Z22" s="112" t="e">
        <f>IF(AND('Mapa final'!#REF!="Alta",'Mapa final'!#REF!="Moderado"),CONCATENATE("R7C",'Mapa final'!#REF!),"")</f>
        <v>#REF!</v>
      </c>
      <c r="AA22" s="113" t="e">
        <f>IF(AND('Mapa final'!#REF!="Alta",'Mapa final'!#REF!="Moderado"),CONCATENATE("R7C",'Mapa final'!#REF!),"")</f>
        <v>#REF!</v>
      </c>
      <c r="AB22" s="111" t="e">
        <f>IF(AND('Mapa final'!#REF!="Alta",'Mapa final'!#REF!="Mayor"),CONCATENATE("R7C",'Mapa final'!#REF!),"")</f>
        <v>#REF!</v>
      </c>
      <c r="AC22" s="112" t="e">
        <f>IF(AND('Mapa final'!#REF!="Alta",'Mapa final'!#REF!="Mayor"),CONCATENATE("R7C",'Mapa final'!#REF!),"")</f>
        <v>#REF!</v>
      </c>
      <c r="AD22" s="112" t="e">
        <f>IF(AND('Mapa final'!#REF!="Alta",'Mapa final'!#REF!="Mayor"),CONCATENATE("R7C",'Mapa final'!#REF!),"")</f>
        <v>#REF!</v>
      </c>
      <c r="AE22" s="112" t="e">
        <f>IF(AND('Mapa final'!#REF!="Alta",'Mapa final'!#REF!="Mayor"),CONCATENATE("R7C",'Mapa final'!#REF!),"")</f>
        <v>#REF!</v>
      </c>
      <c r="AF22" s="112" t="e">
        <f>IF(AND('Mapa final'!#REF!="Alta",'Mapa final'!#REF!="Mayor"),CONCATENATE("R7C",'Mapa final'!#REF!),"")</f>
        <v>#REF!</v>
      </c>
      <c r="AG22" s="113" t="e">
        <f>IF(AND('Mapa final'!#REF!="Alta",'Mapa final'!#REF!="Mayor"),CONCATENATE("R7C",'Mapa final'!#REF!),"")</f>
        <v>#REF!</v>
      </c>
      <c r="AH22" s="140" t="e">
        <f>IF(AND('Mapa final'!#REF!="Alta",'Mapa final'!#REF!="Catastrófico"),CONCATENATE("R7C",'Mapa final'!#REF!),"")</f>
        <v>#REF!</v>
      </c>
      <c r="AI22" s="141" t="e">
        <f>IF(AND('Mapa final'!#REF!="Alta",'Mapa final'!#REF!="Catastrófico"),CONCATENATE("R7C",'Mapa final'!#REF!),"")</f>
        <v>#REF!</v>
      </c>
      <c r="AJ22" s="141" t="e">
        <f>IF(AND('Mapa final'!#REF!="Alta",'Mapa final'!#REF!="Catastrófico"),CONCATENATE("R7C",'Mapa final'!#REF!),"")</f>
        <v>#REF!</v>
      </c>
      <c r="AK22" s="141" t="e">
        <f>IF(AND('Mapa final'!#REF!="Alta",'Mapa final'!#REF!="Catastrófico"),CONCATENATE("R7C",'Mapa final'!#REF!),"")</f>
        <v>#REF!</v>
      </c>
      <c r="AL22" s="141" t="e">
        <f>IF(AND('Mapa final'!#REF!="Alta",'Mapa final'!#REF!="Catastrófico"),CONCATENATE("R7C",'Mapa final'!#REF!),"")</f>
        <v>#REF!</v>
      </c>
      <c r="AM22" s="142" t="e">
        <f>IF(AND('Mapa final'!#REF!="Alta",'Mapa final'!#REF!="Catastrófico"),CONCATENATE("R7C",'Mapa final'!#REF!),"")</f>
        <v>#REF!</v>
      </c>
      <c r="AN22" s="64"/>
      <c r="AO22" s="149"/>
      <c r="AT22" s="150"/>
    </row>
    <row r="23" customHeight="1" spans="2:46">
      <c r="B23" s="63"/>
      <c r="D23" s="100"/>
      <c r="E23" s="103"/>
      <c r="J23" s="121" t="e">
        <f>IF(AND('Mapa final'!#REF!="Alta",'Mapa final'!#REF!="Leve"),CONCATENATE("R8C",'Mapa final'!#REF!),"")</f>
        <v>#REF!</v>
      </c>
      <c r="K23" s="122" t="e">
        <f>IF(AND('Mapa final'!#REF!="Alta",'Mapa final'!#REF!="Leve"),CONCATENATE("R8C",'Mapa final'!#REF!),"")</f>
        <v>#REF!</v>
      </c>
      <c r="L23" s="122" t="e">
        <f>IF(AND('Mapa final'!#REF!="Alta",'Mapa final'!#REF!="Leve"),CONCATENATE("R8C",'Mapa final'!#REF!),"")</f>
        <v>#REF!</v>
      </c>
      <c r="M23" s="122" t="e">
        <f>IF(AND('Mapa final'!#REF!="Alta",'Mapa final'!#REF!="Leve"),CONCATENATE("R8C",'Mapa final'!#REF!),"")</f>
        <v>#REF!</v>
      </c>
      <c r="N23" s="122" t="e">
        <f>IF(AND('Mapa final'!#REF!="Alta",'Mapa final'!#REF!="Leve"),CONCATENATE("R8C",'Mapa final'!#REF!),"")</f>
        <v>#REF!</v>
      </c>
      <c r="O23" s="123" t="e">
        <f>IF(AND('Mapa final'!#REF!="Alta",'Mapa final'!#REF!="Leve"),CONCATENATE("R8C",'Mapa final'!#REF!),"")</f>
        <v>#REF!</v>
      </c>
      <c r="P23" s="121" t="e">
        <f>IF(AND('Mapa final'!#REF!="Alta",'Mapa final'!#REF!="Menor"),CONCATENATE("R8C",'Mapa final'!#REF!),"")</f>
        <v>#REF!</v>
      </c>
      <c r="Q23" s="122" t="e">
        <f>IF(AND('Mapa final'!#REF!="Alta",'Mapa final'!#REF!="Menor"),CONCATENATE("R8C",'Mapa final'!#REF!),"")</f>
        <v>#REF!</v>
      </c>
      <c r="R23" s="122" t="e">
        <f>IF(AND('Mapa final'!#REF!="Alta",'Mapa final'!#REF!="Menor"),CONCATENATE("R8C",'Mapa final'!#REF!),"")</f>
        <v>#REF!</v>
      </c>
      <c r="S23" s="122" t="e">
        <f>IF(AND('Mapa final'!#REF!="Alta",'Mapa final'!#REF!="Menor"),CONCATENATE("R8C",'Mapa final'!#REF!),"")</f>
        <v>#REF!</v>
      </c>
      <c r="T23" s="122" t="e">
        <f>IF(AND('Mapa final'!#REF!="Alta",'Mapa final'!#REF!="Menor"),CONCATENATE("R8C",'Mapa final'!#REF!),"")</f>
        <v>#REF!</v>
      </c>
      <c r="U23" s="123" t="e">
        <f>IF(AND('Mapa final'!#REF!="Alta",'Mapa final'!#REF!="Menor"),CONCATENATE("R8C",'Mapa final'!#REF!),"")</f>
        <v>#REF!</v>
      </c>
      <c r="V23" s="111" t="e">
        <f>IF(AND('Mapa final'!#REF!="Alta",'Mapa final'!#REF!="Moderado"),CONCATENATE("R8C",'Mapa final'!#REF!),"")</f>
        <v>#REF!</v>
      </c>
      <c r="W23" s="112" t="e">
        <f>IF(AND('Mapa final'!#REF!="Alta",'Mapa final'!#REF!="Moderado"),CONCATENATE("R8C",'Mapa final'!#REF!),"")</f>
        <v>#REF!</v>
      </c>
      <c r="X23" s="112" t="e">
        <f>IF(AND('Mapa final'!#REF!="Alta",'Mapa final'!#REF!="Moderado"),CONCATENATE("R8C",'Mapa final'!#REF!),"")</f>
        <v>#REF!</v>
      </c>
      <c r="Y23" s="112" t="e">
        <f>IF(AND('Mapa final'!#REF!="Alta",'Mapa final'!#REF!="Moderado"),CONCATENATE("R8C",'Mapa final'!#REF!),"")</f>
        <v>#REF!</v>
      </c>
      <c r="Z23" s="112" t="e">
        <f>IF(AND('Mapa final'!#REF!="Alta",'Mapa final'!#REF!="Moderado"),CONCATENATE("R8C",'Mapa final'!#REF!),"")</f>
        <v>#REF!</v>
      </c>
      <c r="AA23" s="113" t="e">
        <f>IF(AND('Mapa final'!#REF!="Alta",'Mapa final'!#REF!="Moderado"),CONCATENATE("R8C",'Mapa final'!#REF!),"")</f>
        <v>#REF!</v>
      </c>
      <c r="AB23" s="111" t="e">
        <f>IF(AND('Mapa final'!#REF!="Alta",'Mapa final'!#REF!="Mayor"),CONCATENATE("R8C",'Mapa final'!#REF!),"")</f>
        <v>#REF!</v>
      </c>
      <c r="AC23" s="112" t="e">
        <f>IF(AND('Mapa final'!#REF!="Alta",'Mapa final'!#REF!="Mayor"),CONCATENATE("R8C",'Mapa final'!#REF!),"")</f>
        <v>#REF!</v>
      </c>
      <c r="AD23" s="112" t="e">
        <f>IF(AND('Mapa final'!#REF!="Alta",'Mapa final'!#REF!="Mayor"),CONCATENATE("R8C",'Mapa final'!#REF!),"")</f>
        <v>#REF!</v>
      </c>
      <c r="AE23" s="112" t="e">
        <f>IF(AND('Mapa final'!#REF!="Alta",'Mapa final'!#REF!="Mayor"),CONCATENATE("R8C",'Mapa final'!#REF!),"")</f>
        <v>#REF!</v>
      </c>
      <c r="AF23" s="112" t="e">
        <f>IF(AND('Mapa final'!#REF!="Alta",'Mapa final'!#REF!="Mayor"),CONCATENATE("R8C",'Mapa final'!#REF!),"")</f>
        <v>#REF!</v>
      </c>
      <c r="AG23" s="113" t="e">
        <f>IF(AND('Mapa final'!#REF!="Alta",'Mapa final'!#REF!="Mayor"),CONCATENATE("R8C",'Mapa final'!#REF!),"")</f>
        <v>#REF!</v>
      </c>
      <c r="AH23" s="140" t="e">
        <f>IF(AND('Mapa final'!#REF!="Alta",'Mapa final'!#REF!="Catastrófico"),CONCATENATE("R8C",'Mapa final'!#REF!),"")</f>
        <v>#REF!</v>
      </c>
      <c r="AI23" s="141" t="e">
        <f>IF(AND('Mapa final'!#REF!="Alta",'Mapa final'!#REF!="Catastrófico"),CONCATENATE("R8C",'Mapa final'!#REF!),"")</f>
        <v>#REF!</v>
      </c>
      <c r="AJ23" s="141" t="e">
        <f>IF(AND('Mapa final'!#REF!="Alta",'Mapa final'!#REF!="Catastrófico"),CONCATENATE("R8C",'Mapa final'!#REF!),"")</f>
        <v>#REF!</v>
      </c>
      <c r="AK23" s="141" t="e">
        <f>IF(AND('Mapa final'!#REF!="Alta",'Mapa final'!#REF!="Catastrófico"),CONCATENATE("R8C",'Mapa final'!#REF!),"")</f>
        <v>#REF!</v>
      </c>
      <c r="AL23" s="141" t="e">
        <f>IF(AND('Mapa final'!#REF!="Alta",'Mapa final'!#REF!="Catastrófico"),CONCATENATE("R8C",'Mapa final'!#REF!),"")</f>
        <v>#REF!</v>
      </c>
      <c r="AM23" s="142" t="e">
        <f>IF(AND('Mapa final'!#REF!="Alta",'Mapa final'!#REF!="Catastrófico"),CONCATENATE("R8C",'Mapa final'!#REF!),"")</f>
        <v>#REF!</v>
      </c>
      <c r="AN23" s="64"/>
      <c r="AO23" s="149"/>
      <c r="AT23" s="150"/>
    </row>
    <row r="24" customHeight="1" spans="2:46">
      <c r="B24" s="63"/>
      <c r="D24" s="100"/>
      <c r="E24" s="103"/>
      <c r="J24" s="121" t="e">
        <f>IF(AND('Mapa final'!#REF!="Alta",'Mapa final'!#REF!="Leve"),CONCATENATE("R9C",'Mapa final'!#REF!),"")</f>
        <v>#REF!</v>
      </c>
      <c r="K24" s="122" t="e">
        <f>IF(AND('Mapa final'!#REF!="Alta",'Mapa final'!#REF!="Leve"),CONCATENATE("R9C",'Mapa final'!#REF!),"")</f>
        <v>#REF!</v>
      </c>
      <c r="L24" s="122" t="e">
        <f>IF(AND('Mapa final'!#REF!="Alta",'Mapa final'!#REF!="Leve"),CONCATENATE("R9C",'Mapa final'!#REF!),"")</f>
        <v>#REF!</v>
      </c>
      <c r="M24" s="122" t="e">
        <f>IF(AND('Mapa final'!#REF!="Alta",'Mapa final'!#REF!="Leve"),CONCATENATE("R9C",'Mapa final'!#REF!),"")</f>
        <v>#REF!</v>
      </c>
      <c r="N24" s="122" t="e">
        <f>IF(AND('Mapa final'!#REF!="Alta",'Mapa final'!#REF!="Leve"),CONCATENATE("R9C",'Mapa final'!#REF!),"")</f>
        <v>#REF!</v>
      </c>
      <c r="O24" s="123" t="e">
        <f>IF(AND('Mapa final'!#REF!="Alta",'Mapa final'!#REF!="Leve"),CONCATENATE("R9C",'Mapa final'!#REF!),"")</f>
        <v>#REF!</v>
      </c>
      <c r="P24" s="121" t="e">
        <f>IF(AND('Mapa final'!#REF!="Alta",'Mapa final'!#REF!="Menor"),CONCATENATE("R9C",'Mapa final'!#REF!),"")</f>
        <v>#REF!</v>
      </c>
      <c r="Q24" s="122" t="e">
        <f>IF(AND('Mapa final'!#REF!="Alta",'Mapa final'!#REF!="Menor"),CONCATENATE("R9C",'Mapa final'!#REF!),"")</f>
        <v>#REF!</v>
      </c>
      <c r="R24" s="122" t="e">
        <f>IF(AND('Mapa final'!#REF!="Alta",'Mapa final'!#REF!="Menor"),CONCATENATE("R9C",'Mapa final'!#REF!),"")</f>
        <v>#REF!</v>
      </c>
      <c r="S24" s="122" t="e">
        <f>IF(AND('Mapa final'!#REF!="Alta",'Mapa final'!#REF!="Menor"),CONCATENATE("R9C",'Mapa final'!#REF!),"")</f>
        <v>#REF!</v>
      </c>
      <c r="T24" s="122" t="e">
        <f>IF(AND('Mapa final'!#REF!="Alta",'Mapa final'!#REF!="Menor"),CONCATENATE("R9C",'Mapa final'!#REF!),"")</f>
        <v>#REF!</v>
      </c>
      <c r="U24" s="123" t="e">
        <f>IF(AND('Mapa final'!#REF!="Alta",'Mapa final'!#REF!="Menor"),CONCATENATE("R9C",'Mapa final'!#REF!),"")</f>
        <v>#REF!</v>
      </c>
      <c r="V24" s="111" t="e">
        <f>IF(AND('Mapa final'!#REF!="Alta",'Mapa final'!#REF!="Moderado"),CONCATENATE("R9C",'Mapa final'!#REF!),"")</f>
        <v>#REF!</v>
      </c>
      <c r="W24" s="112" t="e">
        <f>IF(AND('Mapa final'!#REF!="Alta",'Mapa final'!#REF!="Moderado"),CONCATENATE("R9C",'Mapa final'!#REF!),"")</f>
        <v>#REF!</v>
      </c>
      <c r="X24" s="112" t="e">
        <f>IF(AND('Mapa final'!#REF!="Alta",'Mapa final'!#REF!="Moderado"),CONCATENATE("R9C",'Mapa final'!#REF!),"")</f>
        <v>#REF!</v>
      </c>
      <c r="Y24" s="112" t="e">
        <f>IF(AND('Mapa final'!#REF!="Alta",'Mapa final'!#REF!="Moderado"),CONCATENATE("R9C",'Mapa final'!#REF!),"")</f>
        <v>#REF!</v>
      </c>
      <c r="Z24" s="112" t="e">
        <f>IF(AND('Mapa final'!#REF!="Alta",'Mapa final'!#REF!="Moderado"),CONCATENATE("R9C",'Mapa final'!#REF!),"")</f>
        <v>#REF!</v>
      </c>
      <c r="AA24" s="113" t="e">
        <f>IF(AND('Mapa final'!#REF!="Alta",'Mapa final'!#REF!="Moderado"),CONCATENATE("R9C",'Mapa final'!#REF!),"")</f>
        <v>#REF!</v>
      </c>
      <c r="AB24" s="111" t="e">
        <f>IF(AND('Mapa final'!#REF!="Alta",'Mapa final'!#REF!="Mayor"),CONCATENATE("R9C",'Mapa final'!#REF!),"")</f>
        <v>#REF!</v>
      </c>
      <c r="AC24" s="112" t="e">
        <f>IF(AND('Mapa final'!#REF!="Alta",'Mapa final'!#REF!="Mayor"),CONCATENATE("R9C",'Mapa final'!#REF!),"")</f>
        <v>#REF!</v>
      </c>
      <c r="AD24" s="112" t="e">
        <f>IF(AND('Mapa final'!#REF!="Alta",'Mapa final'!#REF!="Mayor"),CONCATENATE("R9C",'Mapa final'!#REF!),"")</f>
        <v>#REF!</v>
      </c>
      <c r="AE24" s="112" t="e">
        <f>IF(AND('Mapa final'!#REF!="Alta",'Mapa final'!#REF!="Mayor"),CONCATENATE("R9C",'Mapa final'!#REF!),"")</f>
        <v>#REF!</v>
      </c>
      <c r="AF24" s="112" t="e">
        <f>IF(AND('Mapa final'!#REF!="Alta",'Mapa final'!#REF!="Mayor"),CONCATENATE("R9C",'Mapa final'!#REF!),"")</f>
        <v>#REF!</v>
      </c>
      <c r="AG24" s="113" t="e">
        <f>IF(AND('Mapa final'!#REF!="Alta",'Mapa final'!#REF!="Mayor"),CONCATENATE("R9C",'Mapa final'!#REF!),"")</f>
        <v>#REF!</v>
      </c>
      <c r="AH24" s="140" t="e">
        <f>IF(AND('Mapa final'!#REF!="Alta",'Mapa final'!#REF!="Catastrófico"),CONCATENATE("R9C",'Mapa final'!#REF!),"")</f>
        <v>#REF!</v>
      </c>
      <c r="AI24" s="141" t="e">
        <f>IF(AND('Mapa final'!#REF!="Alta",'Mapa final'!#REF!="Catastrófico"),CONCATENATE("R9C",'Mapa final'!#REF!),"")</f>
        <v>#REF!</v>
      </c>
      <c r="AJ24" s="141" t="e">
        <f>IF(AND('Mapa final'!#REF!="Alta",'Mapa final'!#REF!="Catastrófico"),CONCATENATE("R9C",'Mapa final'!#REF!),"")</f>
        <v>#REF!</v>
      </c>
      <c r="AK24" s="141" t="e">
        <f>IF(AND('Mapa final'!#REF!="Alta",'Mapa final'!#REF!="Catastrófico"),CONCATENATE("R9C",'Mapa final'!#REF!),"")</f>
        <v>#REF!</v>
      </c>
      <c r="AL24" s="141" t="e">
        <f>IF(AND('Mapa final'!#REF!="Alta",'Mapa final'!#REF!="Catastrófico"),CONCATENATE("R9C",'Mapa final'!#REF!),"")</f>
        <v>#REF!</v>
      </c>
      <c r="AM24" s="142" t="e">
        <f>IF(AND('Mapa final'!#REF!="Alta",'Mapa final'!#REF!="Catastrófico"),CONCATENATE("R9C",'Mapa final'!#REF!),"")</f>
        <v>#REF!</v>
      </c>
      <c r="AN24" s="64"/>
      <c r="AO24" s="149"/>
      <c r="AT24" s="150"/>
    </row>
    <row r="25" ht="15.75" customHeight="1" spans="2:46">
      <c r="B25" s="63"/>
      <c r="D25" s="100"/>
      <c r="E25" s="104"/>
      <c r="F25" s="105"/>
      <c r="G25" s="105"/>
      <c r="H25" s="105"/>
      <c r="I25" s="105"/>
      <c r="J25" s="124" t="e">
        <f>IF(AND('Mapa final'!#REF!="Alta",'Mapa final'!#REF!="Leve"),CONCATENATE("R10C",'Mapa final'!#REF!),"")</f>
        <v>#REF!</v>
      </c>
      <c r="K25" s="125" t="e">
        <f>IF(AND('Mapa final'!#REF!="Alta",'Mapa final'!#REF!="Leve"),CONCATENATE("R10C",'Mapa final'!#REF!),"")</f>
        <v>#REF!</v>
      </c>
      <c r="L25" s="125" t="e">
        <f>IF(AND('Mapa final'!#REF!="Alta",'Mapa final'!#REF!="Leve"),CONCATENATE("R10C",'Mapa final'!#REF!),"")</f>
        <v>#REF!</v>
      </c>
      <c r="M25" s="125" t="e">
        <f>IF(AND('Mapa final'!#REF!="Alta",'Mapa final'!#REF!="Leve"),CONCATENATE("R10C",'Mapa final'!#REF!),"")</f>
        <v>#REF!</v>
      </c>
      <c r="N25" s="125" t="e">
        <f>IF(AND('Mapa final'!#REF!="Alta",'Mapa final'!#REF!="Leve"),CONCATENATE("R10C",'Mapa final'!#REF!),"")</f>
        <v>#REF!</v>
      </c>
      <c r="O25" s="126" t="e">
        <f>IF(AND('Mapa final'!#REF!="Alta",'Mapa final'!#REF!="Leve"),CONCATENATE("R10C",'Mapa final'!#REF!),"")</f>
        <v>#REF!</v>
      </c>
      <c r="P25" s="124" t="e">
        <f>IF(AND('Mapa final'!#REF!="Alta",'Mapa final'!#REF!="Menor"),CONCATENATE("R10C",'Mapa final'!#REF!),"")</f>
        <v>#REF!</v>
      </c>
      <c r="Q25" s="125" t="e">
        <f>IF(AND('Mapa final'!#REF!="Alta",'Mapa final'!#REF!="Menor"),CONCATENATE("R10C",'Mapa final'!#REF!),"")</f>
        <v>#REF!</v>
      </c>
      <c r="R25" s="125" t="e">
        <f>IF(AND('Mapa final'!#REF!="Alta",'Mapa final'!#REF!="Menor"),CONCATENATE("R10C",'Mapa final'!#REF!),"")</f>
        <v>#REF!</v>
      </c>
      <c r="S25" s="125" t="e">
        <f>IF(AND('Mapa final'!#REF!="Alta",'Mapa final'!#REF!="Menor"),CONCATENATE("R10C",'Mapa final'!#REF!),"")</f>
        <v>#REF!</v>
      </c>
      <c r="T25" s="125" t="e">
        <f>IF(AND('Mapa final'!#REF!="Alta",'Mapa final'!#REF!="Menor"),CONCATENATE("R10C",'Mapa final'!#REF!),"")</f>
        <v>#REF!</v>
      </c>
      <c r="U25" s="126" t="e">
        <f>IF(AND('Mapa final'!#REF!="Alta",'Mapa final'!#REF!="Menor"),CONCATENATE("R10C",'Mapa final'!#REF!),"")</f>
        <v>#REF!</v>
      </c>
      <c r="V25" s="115" t="e">
        <f>IF(AND('Mapa final'!#REF!="Alta",'Mapa final'!#REF!="Moderado"),CONCATENATE("R10C",'Mapa final'!#REF!),"")</f>
        <v>#REF!</v>
      </c>
      <c r="W25" s="116" t="e">
        <f>IF(AND('Mapa final'!#REF!="Alta",'Mapa final'!#REF!="Moderado"),CONCATENATE("R10C",'Mapa final'!#REF!),"")</f>
        <v>#REF!</v>
      </c>
      <c r="X25" s="116" t="e">
        <f>IF(AND('Mapa final'!#REF!="Alta",'Mapa final'!#REF!="Moderado"),CONCATENATE("R10C",'Mapa final'!#REF!),"")</f>
        <v>#REF!</v>
      </c>
      <c r="Y25" s="116" t="e">
        <f>IF(AND('Mapa final'!#REF!="Alta",'Mapa final'!#REF!="Moderado"),CONCATENATE("R10C",'Mapa final'!#REF!),"")</f>
        <v>#REF!</v>
      </c>
      <c r="Z25" s="116" t="e">
        <f>IF(AND('Mapa final'!#REF!="Alta",'Mapa final'!#REF!="Moderado"),CONCATENATE("R10C",'Mapa final'!#REF!),"")</f>
        <v>#REF!</v>
      </c>
      <c r="AA25" s="117" t="e">
        <f>IF(AND('Mapa final'!#REF!="Alta",'Mapa final'!#REF!="Moderado"),CONCATENATE("R10C",'Mapa final'!#REF!),"")</f>
        <v>#REF!</v>
      </c>
      <c r="AB25" s="115" t="e">
        <f>IF(AND('Mapa final'!#REF!="Alta",'Mapa final'!#REF!="Mayor"),CONCATENATE("R10C",'Mapa final'!#REF!),"")</f>
        <v>#REF!</v>
      </c>
      <c r="AC25" s="116" t="e">
        <f>IF(AND('Mapa final'!#REF!="Alta",'Mapa final'!#REF!="Mayor"),CONCATENATE("R10C",'Mapa final'!#REF!),"")</f>
        <v>#REF!</v>
      </c>
      <c r="AD25" s="116" t="e">
        <f>IF(AND('Mapa final'!#REF!="Alta",'Mapa final'!#REF!="Mayor"),CONCATENATE("R10C",'Mapa final'!#REF!),"")</f>
        <v>#REF!</v>
      </c>
      <c r="AE25" s="116" t="e">
        <f>IF(AND('Mapa final'!#REF!="Alta",'Mapa final'!#REF!="Mayor"),CONCATENATE("R10C",'Mapa final'!#REF!),"")</f>
        <v>#REF!</v>
      </c>
      <c r="AF25" s="116" t="e">
        <f>IF(AND('Mapa final'!#REF!="Alta",'Mapa final'!#REF!="Mayor"),CONCATENATE("R10C",'Mapa final'!#REF!),"")</f>
        <v>#REF!</v>
      </c>
      <c r="AG25" s="117" t="e">
        <f>IF(AND('Mapa final'!#REF!="Alta",'Mapa final'!#REF!="Mayor"),CONCATENATE("R10C",'Mapa final'!#REF!),"")</f>
        <v>#REF!</v>
      </c>
      <c r="AH25" s="143" t="e">
        <f>IF(AND('Mapa final'!#REF!="Alta",'Mapa final'!#REF!="Catastrófico"),CONCATENATE("R10C",'Mapa final'!#REF!),"")</f>
        <v>#REF!</v>
      </c>
      <c r="AI25" s="144" t="e">
        <f>IF(AND('Mapa final'!#REF!="Alta",'Mapa final'!#REF!="Catastrófico"),CONCATENATE("R10C",'Mapa final'!#REF!),"")</f>
        <v>#REF!</v>
      </c>
      <c r="AJ25" s="144" t="e">
        <f>IF(AND('Mapa final'!#REF!="Alta",'Mapa final'!#REF!="Catastrófico"),CONCATENATE("R10C",'Mapa final'!#REF!),"")</f>
        <v>#REF!</v>
      </c>
      <c r="AK25" s="144" t="e">
        <f>IF(AND('Mapa final'!#REF!="Alta",'Mapa final'!#REF!="Catastrófico"),CONCATENATE("R10C",'Mapa final'!#REF!),"")</f>
        <v>#REF!</v>
      </c>
      <c r="AL25" s="144" t="e">
        <f>IF(AND('Mapa final'!#REF!="Alta",'Mapa final'!#REF!="Catastrófico"),CONCATENATE("R10C",'Mapa final'!#REF!),"")</f>
        <v>#REF!</v>
      </c>
      <c r="AM25" s="145" t="e">
        <f>IF(AND('Mapa final'!#REF!="Alta",'Mapa final'!#REF!="Catastrófico"),CONCATENATE("R10C",'Mapa final'!#REF!),"")</f>
        <v>#REF!</v>
      </c>
      <c r="AN25" s="64"/>
      <c r="AO25" s="151"/>
      <c r="AP25" s="152"/>
      <c r="AQ25" s="152"/>
      <c r="AR25" s="152"/>
      <c r="AS25" s="152"/>
      <c r="AT25" s="153"/>
    </row>
    <row r="26" customHeight="1" spans="2:46">
      <c r="B26" s="63"/>
      <c r="D26" s="100"/>
      <c r="E26" s="101" t="s">
        <v>135</v>
      </c>
      <c r="F26" s="102"/>
      <c r="G26" s="102"/>
      <c r="H26" s="102"/>
      <c r="I26" s="107"/>
      <c r="J26" s="118" t="str">
        <f>IF(AND('Mapa final'!$Y$16="Media",'Mapa final'!$AA$16="Leve"),CONCATENATE("R1C",'Mapa final'!$O$16),"")</f>
        <v/>
      </c>
      <c r="K26" s="119" t="str">
        <f>IF(AND('Mapa final'!$Y$17="Media",'Mapa final'!$AA$17="Leve"),CONCATENATE("R1C",'Mapa final'!$O$17),"")</f>
        <v/>
      </c>
      <c r="L26" s="119" t="str">
        <f>IF(AND('Mapa final'!$Y$18="Media",'Mapa final'!$AA$18="Leve"),CONCATENATE("R1C",'Mapa final'!$O$18),"")</f>
        <v/>
      </c>
      <c r="M26" s="119" t="e">
        <f>IF(AND('Mapa final'!#REF!="Media",'Mapa final'!#REF!="Leve"),CONCATENATE("R1C",'Mapa final'!#REF!),"")</f>
        <v>#REF!</v>
      </c>
      <c r="N26" s="119" t="e">
        <f>IF(AND('Mapa final'!#REF!="Media",'Mapa final'!#REF!="Leve"),CONCATENATE("R1C",'Mapa final'!#REF!),"")</f>
        <v>#REF!</v>
      </c>
      <c r="O26" s="120" t="e">
        <f>IF(AND('Mapa final'!#REF!="Media",'Mapa final'!#REF!="Leve"),CONCATENATE("R1C",'Mapa final'!#REF!),"")</f>
        <v>#REF!</v>
      </c>
      <c r="P26" s="118" t="str">
        <f>IF(AND('Mapa final'!$Y$16="Media",'Mapa final'!$AA$16="Menor"),CONCATENATE("R1C",'Mapa final'!$O$16),"")</f>
        <v/>
      </c>
      <c r="Q26" s="119" t="str">
        <f>IF(AND('Mapa final'!$Y$17="Media",'Mapa final'!$AA$17="Menor"),CONCATENATE("R1C",'Mapa final'!$O$17),"")</f>
        <v/>
      </c>
      <c r="R26" s="119" t="str">
        <f>IF(AND('Mapa final'!$Y$18="Media",'Mapa final'!$AA$18="Menor"),CONCATENATE("R1C",'Mapa final'!$O$18),"")</f>
        <v/>
      </c>
      <c r="S26" s="119" t="e">
        <f>IF(AND('Mapa final'!#REF!="Media",'Mapa final'!#REF!="Menor"),CONCATENATE("R1C",'Mapa final'!#REF!),"")</f>
        <v>#REF!</v>
      </c>
      <c r="T26" s="119" t="e">
        <f>IF(AND('Mapa final'!#REF!="Media",'Mapa final'!#REF!="Menor"),CONCATENATE("R1C",'Mapa final'!#REF!),"")</f>
        <v>#REF!</v>
      </c>
      <c r="U26" s="120" t="e">
        <f>IF(AND('Mapa final'!#REF!="Media",'Mapa final'!#REF!="Menor"),CONCATENATE("R1C",'Mapa final'!#REF!),"")</f>
        <v>#REF!</v>
      </c>
      <c r="V26" s="118" t="str">
        <f>IF(AND('Mapa final'!$Y$16="Media",'Mapa final'!$AA$16="Moderado"),CONCATENATE("R1C",'Mapa final'!$O$16),"")</f>
        <v/>
      </c>
      <c r="W26" s="119" t="str">
        <f>IF(AND('Mapa final'!$Y$17="Media",'Mapa final'!$AA$17="Moderado"),CONCATENATE("R1C",'Mapa final'!$O$17),"")</f>
        <v/>
      </c>
      <c r="X26" s="119" t="str">
        <f>IF(AND('Mapa final'!$Y$18="Media",'Mapa final'!$AA$18="Moderado"),CONCATENATE("R1C",'Mapa final'!$O$18),"")</f>
        <v/>
      </c>
      <c r="Y26" s="119" t="e">
        <f>IF(AND('Mapa final'!#REF!="Media",'Mapa final'!#REF!="Moderado"),CONCATENATE("R1C",'Mapa final'!#REF!),"")</f>
        <v>#REF!</v>
      </c>
      <c r="Z26" s="119" t="e">
        <f>IF(AND('Mapa final'!#REF!="Media",'Mapa final'!#REF!="Moderado"),CONCATENATE("R1C",'Mapa final'!#REF!),"")</f>
        <v>#REF!</v>
      </c>
      <c r="AA26" s="120" t="e">
        <f>IF(AND('Mapa final'!#REF!="Media",'Mapa final'!#REF!="Moderado"),CONCATENATE("R1C",'Mapa final'!#REF!),"")</f>
        <v>#REF!</v>
      </c>
      <c r="AB26" s="108" t="str">
        <f>IF(AND('Mapa final'!$Y$16="Media",'Mapa final'!$AA$16="Mayor"),CONCATENATE("R1C",'Mapa final'!$O$16),"")</f>
        <v/>
      </c>
      <c r="AC26" s="109" t="str">
        <f>IF(AND('Mapa final'!$Y$17="Media",'Mapa final'!$AA$17="Mayor"),CONCATENATE("R1C",'Mapa final'!$O$17),"")</f>
        <v/>
      </c>
      <c r="AD26" s="109" t="str">
        <f>IF(AND('Mapa final'!$Y$18="Media",'Mapa final'!$AA$18="Mayor"),CONCATENATE("R1C",'Mapa final'!$O$18),"")</f>
        <v/>
      </c>
      <c r="AE26" s="109" t="e">
        <f>IF(AND('Mapa final'!#REF!="Media",'Mapa final'!#REF!="Mayor"),CONCATENATE("R1C",'Mapa final'!#REF!),"")</f>
        <v>#REF!</v>
      </c>
      <c r="AF26" s="109" t="e">
        <f>IF(AND('Mapa final'!#REF!="Media",'Mapa final'!#REF!="Mayor"),CONCATENATE("R1C",'Mapa final'!#REF!),"")</f>
        <v>#REF!</v>
      </c>
      <c r="AG26" s="110" t="e">
        <f>IF(AND('Mapa final'!#REF!="Media",'Mapa final'!#REF!="Mayor"),CONCATENATE("R1C",'Mapa final'!#REF!),"")</f>
        <v>#REF!</v>
      </c>
      <c r="AH26" s="137" t="str">
        <f>IF(AND('Mapa final'!$Y$16="Media",'Mapa final'!$AA$16="Catastrófico"),CONCATENATE("R1C",'Mapa final'!$O$16),"")</f>
        <v/>
      </c>
      <c r="AI26" s="138" t="str">
        <f>IF(AND('Mapa final'!$Y$17="Media",'Mapa final'!$AA$17="Catastrófico"),CONCATENATE("R1C",'Mapa final'!$O$17),"")</f>
        <v/>
      </c>
      <c r="AJ26" s="138" t="str">
        <f>IF(AND('Mapa final'!$Y$18="Media",'Mapa final'!$AA$18="Catastrófico"),CONCATENATE("R1C",'Mapa final'!$O$18),"")</f>
        <v/>
      </c>
      <c r="AK26" s="138" t="e">
        <f>IF(AND('Mapa final'!#REF!="Media",'Mapa final'!#REF!="Catastrófico"),CONCATENATE("R1C",'Mapa final'!#REF!),"")</f>
        <v>#REF!</v>
      </c>
      <c r="AL26" s="138" t="e">
        <f>IF(AND('Mapa final'!#REF!="Media",'Mapa final'!#REF!="Catastrófico"),CONCATENATE("R1C",'Mapa final'!#REF!),"")</f>
        <v>#REF!</v>
      </c>
      <c r="AM26" s="139" t="e">
        <f>IF(AND('Mapa final'!#REF!="Media",'Mapa final'!#REF!="Catastrófico"),CONCATENATE("R1C",'Mapa final'!#REF!),"")</f>
        <v>#REF!</v>
      </c>
      <c r="AN26" s="64"/>
      <c r="AO26" s="155" t="s">
        <v>136</v>
      </c>
      <c r="AP26" s="147"/>
      <c r="AQ26" s="147"/>
      <c r="AR26" s="147"/>
      <c r="AS26" s="147"/>
      <c r="AT26" s="148"/>
    </row>
    <row r="27" customHeight="1" spans="2:46">
      <c r="B27" s="63"/>
      <c r="D27" s="100"/>
      <c r="E27" s="103"/>
      <c r="I27" s="100"/>
      <c r="J27" s="121" t="str">
        <f>IF(AND('Mapa final'!$Y$21="Media",'Mapa final'!$AA$21="Leve"),CONCATENATE("R2C",'Mapa final'!$O$21),"")</f>
        <v/>
      </c>
      <c r="K27" s="122" t="e">
        <f>IF(AND('Mapa final'!#REF!="Media",'Mapa final'!#REF!="Leve"),CONCATENATE("R2C",'Mapa final'!#REF!),"")</f>
        <v>#REF!</v>
      </c>
      <c r="L27" s="122" t="e">
        <f>IF(AND('Mapa final'!#REF!="Media",'Mapa final'!#REF!="Leve"),CONCATENATE("R2C",'Mapa final'!#REF!),"")</f>
        <v>#REF!</v>
      </c>
      <c r="M27" s="122" t="e">
        <f>IF(AND('Mapa final'!#REF!="Media",'Mapa final'!#REF!="Leve"),CONCATENATE("R2C",'Mapa final'!#REF!),"")</f>
        <v>#REF!</v>
      </c>
      <c r="N27" s="122" t="str">
        <f>IF(AND('Mapa final'!$Y$22="Media",'Mapa final'!$AA$22="Leve"),CONCATENATE("R2C",'Mapa final'!$O$22),"")</f>
        <v/>
      </c>
      <c r="O27" s="123" t="str">
        <f>IF(AND('Mapa final'!$Y$23="Media",'Mapa final'!$AA$23="Leve"),CONCATENATE("R2C",'Mapa final'!$O$23),"")</f>
        <v/>
      </c>
      <c r="P27" s="121" t="str">
        <f>IF(AND('Mapa final'!$Y$21="Media",'Mapa final'!$AA$21="Menor"),CONCATENATE("R2C",'Mapa final'!$O$21),"")</f>
        <v/>
      </c>
      <c r="Q27" s="122" t="e">
        <f>IF(AND('Mapa final'!#REF!="Media",'Mapa final'!#REF!="Menor"),CONCATENATE("R2C",'Mapa final'!#REF!),"")</f>
        <v>#REF!</v>
      </c>
      <c r="R27" s="122" t="e">
        <f>IF(AND('Mapa final'!#REF!="Media",'Mapa final'!#REF!="Menor"),CONCATENATE("R2C",'Mapa final'!#REF!),"")</f>
        <v>#REF!</v>
      </c>
      <c r="S27" s="122" t="e">
        <f>IF(AND('Mapa final'!#REF!="Media",'Mapa final'!#REF!="Menor"),CONCATENATE("R2C",'Mapa final'!#REF!),"")</f>
        <v>#REF!</v>
      </c>
      <c r="T27" s="122" t="str">
        <f>IF(AND('Mapa final'!$Y$22="Media",'Mapa final'!$AA$22="Menor"),CONCATENATE("R2C",'Mapa final'!$O$22),"")</f>
        <v/>
      </c>
      <c r="U27" s="123" t="str">
        <f>IF(AND('Mapa final'!$Y$23="Media",'Mapa final'!$AA$23="Menor"),CONCATENATE("R2C",'Mapa final'!$O$23),"")</f>
        <v/>
      </c>
      <c r="V27" s="121" t="str">
        <f>IF(AND('Mapa final'!$Y$21="Media",'Mapa final'!$AA$21="Moderado"),CONCATENATE("R2C",'Mapa final'!$O$21),"")</f>
        <v/>
      </c>
      <c r="W27" s="122" t="e">
        <f>IF(AND('Mapa final'!#REF!="Media",'Mapa final'!#REF!="Moderado"),CONCATENATE("R2C",'Mapa final'!#REF!),"")</f>
        <v>#REF!</v>
      </c>
      <c r="X27" s="122" t="e">
        <f>IF(AND('Mapa final'!#REF!="Media",'Mapa final'!#REF!="Moderado"),CONCATENATE("R2C",'Mapa final'!#REF!),"")</f>
        <v>#REF!</v>
      </c>
      <c r="Y27" s="122" t="e">
        <f>IF(AND('Mapa final'!#REF!="Media",'Mapa final'!#REF!="Moderado"),CONCATENATE("R2C",'Mapa final'!#REF!),"")</f>
        <v>#REF!</v>
      </c>
      <c r="Z27" s="122" t="str">
        <f>IF(AND('Mapa final'!$Y$22="Media",'Mapa final'!$AA$22="Moderado"),CONCATENATE("R2C",'Mapa final'!$O$22),"")</f>
        <v/>
      </c>
      <c r="AA27" s="123" t="str">
        <f>IF(AND('Mapa final'!$Y$23="Media",'Mapa final'!$AA$23="Moderado"),CONCATENATE("R2C",'Mapa final'!$O$23),"")</f>
        <v/>
      </c>
      <c r="AB27" s="111" t="str">
        <f>IF(AND('Mapa final'!$Y$21="Media",'Mapa final'!$AA$21="Mayor"),CONCATENATE("R2C",'Mapa final'!$O$21),"")</f>
        <v/>
      </c>
      <c r="AC27" s="112" t="e">
        <f>IF(AND('Mapa final'!#REF!="Media",'Mapa final'!#REF!="Mayor"),CONCATENATE("R2C",'Mapa final'!#REF!),"")</f>
        <v>#REF!</v>
      </c>
      <c r="AD27" s="112" t="e">
        <f>IF(AND('Mapa final'!#REF!="Media",'Mapa final'!#REF!="Mayor"),CONCATENATE("R2C",'Mapa final'!#REF!),"")</f>
        <v>#REF!</v>
      </c>
      <c r="AE27" s="112" t="e">
        <f>IF(AND('Mapa final'!#REF!="Media",'Mapa final'!#REF!="Mayor"),CONCATENATE("R2C",'Mapa final'!#REF!),"")</f>
        <v>#REF!</v>
      </c>
      <c r="AF27" s="112" t="str">
        <f>IF(AND('Mapa final'!$Y$22="Media",'Mapa final'!$AA$22="Mayor"),CONCATENATE("R2C",'Mapa final'!$O$22),"")</f>
        <v/>
      </c>
      <c r="AG27" s="113" t="str">
        <f>IF(AND('Mapa final'!$Y$23="Media",'Mapa final'!$AA$23="Mayor"),CONCATENATE("R2C",'Mapa final'!$O$23),"")</f>
        <v/>
      </c>
      <c r="AH27" s="140" t="str">
        <f>IF(AND('Mapa final'!$Y$21="Media",'Mapa final'!$AA$21="Catastrófico"),CONCATENATE("R2C",'Mapa final'!$O$21),"")</f>
        <v/>
      </c>
      <c r="AI27" s="141" t="e">
        <f>IF(AND('Mapa final'!#REF!="Media",'Mapa final'!#REF!="Catastrófico"),CONCATENATE("R2C",'Mapa final'!#REF!),"")</f>
        <v>#REF!</v>
      </c>
      <c r="AJ27" s="141" t="e">
        <f>IF(AND('Mapa final'!#REF!="Media",'Mapa final'!#REF!="Catastrófico"),CONCATENATE("R2C",'Mapa final'!#REF!),"")</f>
        <v>#REF!</v>
      </c>
      <c r="AK27" s="141" t="e">
        <f>IF(AND('Mapa final'!#REF!="Media",'Mapa final'!#REF!="Catastrófico"),CONCATENATE("R2C",'Mapa final'!#REF!),"")</f>
        <v>#REF!</v>
      </c>
      <c r="AL27" s="141" t="str">
        <f>IF(AND('Mapa final'!$Y$22="Media",'Mapa final'!$AA$22="Catastrófico"),CONCATENATE("R2C",'Mapa final'!$O$22),"")</f>
        <v/>
      </c>
      <c r="AM27" s="142" t="str">
        <f>IF(AND('Mapa final'!$Y$23="Media",'Mapa final'!$AA$23="Catastrófico"),CONCATENATE("R2C",'Mapa final'!$O$23),"")</f>
        <v/>
      </c>
      <c r="AN27" s="64"/>
      <c r="AO27" s="149"/>
      <c r="AT27" s="150"/>
    </row>
    <row r="28" customHeight="1" spans="2:46">
      <c r="B28" s="63"/>
      <c r="D28" s="100"/>
      <c r="E28" s="103"/>
      <c r="I28" s="100"/>
      <c r="J28" s="121" t="str">
        <f>IF(AND('Mapa final'!$Y$26="Media",'Mapa final'!$AA$26="Leve"),CONCATENATE("R3C",'Mapa final'!$O$26),"")</f>
        <v/>
      </c>
      <c r="K28" s="122" t="str">
        <f>IF(AND('Mapa final'!$Y$27="Media",'Mapa final'!$AA$27="Leve"),CONCATENATE("R3C",'Mapa final'!$O$27),"")</f>
        <v/>
      </c>
      <c r="L28" s="122" t="str">
        <f>IF(AND('Mapa final'!$Y$28="Media",'Mapa final'!$AA$28="Leve"),CONCATENATE("R3C",'Mapa final'!$O$28),"")</f>
        <v/>
      </c>
      <c r="M28" s="122" t="e">
        <f>IF(AND('Mapa final'!#REF!="Media",'Mapa final'!#REF!="Leve"),CONCATENATE("R3C",'Mapa final'!#REF!),"")</f>
        <v>#REF!</v>
      </c>
      <c r="N28" s="122" t="e">
        <f>IF(AND('Mapa final'!#REF!="Media",'Mapa final'!#REF!="Leve"),CONCATENATE("R3C",'Mapa final'!#REF!),"")</f>
        <v>#REF!</v>
      </c>
      <c r="O28" s="123" t="e">
        <f>IF(AND('Mapa final'!#REF!="Media",'Mapa final'!#REF!="Leve"),CONCATENATE("R3C",'Mapa final'!#REF!),"")</f>
        <v>#REF!</v>
      </c>
      <c r="P28" s="121" t="str">
        <f>IF(AND('Mapa final'!$Y$26="Media",'Mapa final'!$AA$26="Menor"),CONCATENATE("R3C",'Mapa final'!$O$26),"")</f>
        <v/>
      </c>
      <c r="Q28" s="122" t="str">
        <f>IF(AND('Mapa final'!$Y$27="Media",'Mapa final'!$AA$27="Menor"),CONCATENATE("R3C",'Mapa final'!$O$27),"")</f>
        <v/>
      </c>
      <c r="R28" s="122" t="str">
        <f>IF(AND('Mapa final'!$Y$28="Media",'Mapa final'!$AA$28="Menor"),CONCATENATE("R3C",'Mapa final'!$O$28),"")</f>
        <v/>
      </c>
      <c r="S28" s="122" t="e">
        <f>IF(AND('Mapa final'!#REF!="Media",'Mapa final'!#REF!="Menor"),CONCATENATE("R3C",'Mapa final'!#REF!),"")</f>
        <v>#REF!</v>
      </c>
      <c r="T28" s="122" t="e">
        <f>IF(AND('Mapa final'!#REF!="Media",'Mapa final'!#REF!="Menor"),CONCATENATE("R3C",'Mapa final'!#REF!),"")</f>
        <v>#REF!</v>
      </c>
      <c r="U28" s="123" t="e">
        <f>IF(AND('Mapa final'!#REF!="Media",'Mapa final'!#REF!="Menor"),CONCATENATE("R3C",'Mapa final'!#REF!),"")</f>
        <v>#REF!</v>
      </c>
      <c r="V28" s="121" t="str">
        <f>IF(AND('Mapa final'!$Y$26="Media",'Mapa final'!$AA$26="Moderado"),CONCATENATE("R3C",'Mapa final'!$O$26),"")</f>
        <v/>
      </c>
      <c r="W28" s="122" t="str">
        <f>IF(AND('Mapa final'!$Y$27="Media",'Mapa final'!$AA$27="Moderado"),CONCATENATE("R3C",'Mapa final'!$O$27),"")</f>
        <v/>
      </c>
      <c r="X28" s="122" t="str">
        <f>IF(AND('Mapa final'!$Y$28="Media",'Mapa final'!$AA$28="Moderado"),CONCATENATE("R3C",'Mapa final'!$O$28),"")</f>
        <v/>
      </c>
      <c r="Y28" s="122" t="e">
        <f>IF(AND('Mapa final'!#REF!="Media",'Mapa final'!#REF!="Moderado"),CONCATENATE("R3C",'Mapa final'!#REF!),"")</f>
        <v>#REF!</v>
      </c>
      <c r="Z28" s="122" t="e">
        <f>IF(AND('Mapa final'!#REF!="Media",'Mapa final'!#REF!="Moderado"),CONCATENATE("R3C",'Mapa final'!#REF!),"")</f>
        <v>#REF!</v>
      </c>
      <c r="AA28" s="123" t="e">
        <f>IF(AND('Mapa final'!#REF!="Media",'Mapa final'!#REF!="Moderado"),CONCATENATE("R3C",'Mapa final'!#REF!),"")</f>
        <v>#REF!</v>
      </c>
      <c r="AB28" s="111" t="str">
        <f>IF(AND('Mapa final'!$Y$26="Media",'Mapa final'!$AA$26="Mayor"),CONCATENATE("R3C",'Mapa final'!$O$26),"")</f>
        <v/>
      </c>
      <c r="AC28" s="112" t="str">
        <f>IF(AND('Mapa final'!$Y$27="Media",'Mapa final'!$AA$27="Mayor"),CONCATENATE("R3C",'Mapa final'!$O$27),"")</f>
        <v/>
      </c>
      <c r="AD28" s="112" t="str">
        <f>IF(AND('Mapa final'!$Y$28="Media",'Mapa final'!$AA$28="Mayor"),CONCATENATE("R3C",'Mapa final'!$O$28),"")</f>
        <v/>
      </c>
      <c r="AE28" s="112" t="e">
        <f>IF(AND('Mapa final'!#REF!="Media",'Mapa final'!#REF!="Mayor"),CONCATENATE("R3C",'Mapa final'!#REF!),"")</f>
        <v>#REF!</v>
      </c>
      <c r="AF28" s="112" t="e">
        <f>IF(AND('Mapa final'!#REF!="Media",'Mapa final'!#REF!="Mayor"),CONCATENATE("R3C",'Mapa final'!#REF!),"")</f>
        <v>#REF!</v>
      </c>
      <c r="AG28" s="113" t="e">
        <f>IF(AND('Mapa final'!#REF!="Media",'Mapa final'!#REF!="Mayor"),CONCATENATE("R3C",'Mapa final'!#REF!),"")</f>
        <v>#REF!</v>
      </c>
      <c r="AH28" s="140" t="str">
        <f>IF(AND('Mapa final'!$Y$26="Media",'Mapa final'!$AA$26="Catastrófico"),CONCATENATE("R3C",'Mapa final'!$O$26),"")</f>
        <v/>
      </c>
      <c r="AI28" s="141" t="str">
        <f>IF(AND('Mapa final'!$Y$27="Media",'Mapa final'!$AA$27="Catastrófico"),CONCATENATE("R3C",'Mapa final'!$O$27),"")</f>
        <v/>
      </c>
      <c r="AJ28" s="141" t="str">
        <f>IF(AND('Mapa final'!$Y$28="Media",'Mapa final'!$AA$28="Catastrófico"),CONCATENATE("R3C",'Mapa final'!$O$28),"")</f>
        <v/>
      </c>
      <c r="AK28" s="141" t="e">
        <f>IF(AND('Mapa final'!#REF!="Media",'Mapa final'!#REF!="Catastrófico"),CONCATENATE("R3C",'Mapa final'!#REF!),"")</f>
        <v>#REF!</v>
      </c>
      <c r="AL28" s="141" t="e">
        <f>IF(AND('Mapa final'!#REF!="Media",'Mapa final'!#REF!="Catastrófico"),CONCATENATE("R3C",'Mapa final'!#REF!),"")</f>
        <v>#REF!</v>
      </c>
      <c r="AM28" s="142" t="e">
        <f>IF(AND('Mapa final'!#REF!="Media",'Mapa final'!#REF!="Catastrófico"),CONCATENATE("R3C",'Mapa final'!#REF!),"")</f>
        <v>#REF!</v>
      </c>
      <c r="AN28" s="64"/>
      <c r="AO28" s="149"/>
      <c r="AT28" s="150"/>
    </row>
    <row r="29" customHeight="1" spans="2:46">
      <c r="B29" s="63"/>
      <c r="D29" s="100"/>
      <c r="E29" s="103"/>
      <c r="I29" s="100"/>
      <c r="J29" s="121" t="str">
        <f>IF(AND('Mapa final'!$Y$31="Media",'Mapa final'!$AA$31="Leve"),CONCATENATE("R4C",'Mapa final'!$O$31),"")</f>
        <v/>
      </c>
      <c r="K29" s="122" t="str">
        <f>IF(AND('Mapa final'!$Y$32="Media",'Mapa final'!$AA$32="Leve"),CONCATENATE("R4C",'Mapa final'!$O$32),"")</f>
        <v/>
      </c>
      <c r="L29" s="122" t="e">
        <f>IF(AND('Mapa final'!#REF!="Media",'Mapa final'!#REF!="Leve"),CONCATENATE("R4C",'Mapa final'!#REF!),"")</f>
        <v>#REF!</v>
      </c>
      <c r="M29" s="122" t="str">
        <f>IF(AND('Mapa final'!$Y$33="Media",'Mapa final'!$AA$33="Leve"),CONCATENATE("R4C",'Mapa final'!$O$33),"")</f>
        <v/>
      </c>
      <c r="N29" s="122" t="e">
        <f>IF(AND('Mapa final'!#REF!="Media",'Mapa final'!#REF!="Leve"),CONCATENATE("R4C",'Mapa final'!#REF!),"")</f>
        <v>#REF!</v>
      </c>
      <c r="O29" s="123" t="e">
        <f>IF(AND('Mapa final'!#REF!="Media",'Mapa final'!#REF!="Leve"),CONCATENATE("R4C",'Mapa final'!#REF!),"")</f>
        <v>#REF!</v>
      </c>
      <c r="P29" s="121" t="str">
        <f>IF(AND('Mapa final'!$Y$31="Media",'Mapa final'!$AA$31="Menor"),CONCATENATE("R4C",'Mapa final'!$O$31),"")</f>
        <v/>
      </c>
      <c r="Q29" s="122" t="str">
        <f>IF(AND('Mapa final'!$Y$32="Media",'Mapa final'!$AA$32="Menor"),CONCATENATE("R4C",'Mapa final'!$O$32),"")</f>
        <v/>
      </c>
      <c r="R29" s="122" t="e">
        <f>IF(AND('Mapa final'!#REF!="Media",'Mapa final'!#REF!="Menor"),CONCATENATE("R4C",'Mapa final'!#REF!),"")</f>
        <v>#REF!</v>
      </c>
      <c r="S29" s="122" t="str">
        <f>IF(AND('Mapa final'!$Y$33="Media",'Mapa final'!$AA$33="Menor"),CONCATENATE("R4C",'Mapa final'!$O$33),"")</f>
        <v/>
      </c>
      <c r="T29" s="122" t="e">
        <f>IF(AND('Mapa final'!#REF!="Media",'Mapa final'!#REF!="Menor"),CONCATENATE("R4C",'Mapa final'!#REF!),"")</f>
        <v>#REF!</v>
      </c>
      <c r="U29" s="123" t="e">
        <f>IF(AND('Mapa final'!#REF!="Media",'Mapa final'!#REF!="Menor"),CONCATENATE("R4C",'Mapa final'!#REF!),"")</f>
        <v>#REF!</v>
      </c>
      <c r="V29" s="121" t="str">
        <f>IF(AND('Mapa final'!$Y$31="Media",'Mapa final'!$AA$31="Moderado"),CONCATENATE("R4C",'Mapa final'!$O$31),"")</f>
        <v/>
      </c>
      <c r="W29" s="122" t="str">
        <f>IF(AND('Mapa final'!$Y$32="Media",'Mapa final'!$AA$32="Moderado"),CONCATENATE("R4C",'Mapa final'!$O$32),"")</f>
        <v/>
      </c>
      <c r="X29" s="122" t="e">
        <f>IF(AND('Mapa final'!#REF!="Media",'Mapa final'!#REF!="Moderado"),CONCATENATE("R4C",'Mapa final'!#REF!),"")</f>
        <v>#REF!</v>
      </c>
      <c r="Y29" s="122" t="str">
        <f>IF(AND('Mapa final'!$Y$33="Media",'Mapa final'!$AA$33="Moderado"),CONCATENATE("R4C",'Mapa final'!$O$33),"")</f>
        <v/>
      </c>
      <c r="Z29" s="122" t="e">
        <f>IF(AND('Mapa final'!#REF!="Media",'Mapa final'!#REF!="Moderado"),CONCATENATE("R4C",'Mapa final'!#REF!),"")</f>
        <v>#REF!</v>
      </c>
      <c r="AA29" s="123" t="e">
        <f>IF(AND('Mapa final'!#REF!="Media",'Mapa final'!#REF!="Moderado"),CONCATENATE("R4C",'Mapa final'!#REF!),"")</f>
        <v>#REF!</v>
      </c>
      <c r="AB29" s="111" t="str">
        <f>IF(AND('Mapa final'!$Y$31="Media",'Mapa final'!$AA$31="Mayor"),CONCATENATE("R4C",'Mapa final'!$O$31),"")</f>
        <v/>
      </c>
      <c r="AC29" s="112" t="str">
        <f>IF(AND('Mapa final'!$Y$32="Media",'Mapa final'!$AA$32="Mayor"),CONCATENATE("R4C",'Mapa final'!$O$32),"")</f>
        <v/>
      </c>
      <c r="AD29" s="112" t="e">
        <f>IF(AND('Mapa final'!#REF!="Media",'Mapa final'!#REF!="Mayor"),CONCATENATE("R4C",'Mapa final'!#REF!),"")</f>
        <v>#REF!</v>
      </c>
      <c r="AE29" s="112" t="str">
        <f>IF(AND('Mapa final'!$Y$33="Media",'Mapa final'!$AA$33="Mayor"),CONCATENATE("R4C",'Mapa final'!$O$33),"")</f>
        <v/>
      </c>
      <c r="AF29" s="112" t="e">
        <f>IF(AND('Mapa final'!#REF!="Media",'Mapa final'!#REF!="Mayor"),CONCATENATE("R4C",'Mapa final'!#REF!),"")</f>
        <v>#REF!</v>
      </c>
      <c r="AG29" s="113" t="e">
        <f>IF(AND('Mapa final'!#REF!="Media",'Mapa final'!#REF!="Mayor"),CONCATENATE("R4C",'Mapa final'!#REF!),"")</f>
        <v>#REF!</v>
      </c>
      <c r="AH29" s="140" t="str">
        <f>IF(AND('Mapa final'!$Y$31="Media",'Mapa final'!$AA$31="Catastrófico"),CONCATENATE("R4C",'Mapa final'!$O$31),"")</f>
        <v/>
      </c>
      <c r="AI29" s="141" t="str">
        <f>IF(AND('Mapa final'!$Y$32="Media",'Mapa final'!$AA$32="Catastrófico"),CONCATENATE("R4C",'Mapa final'!$O$32),"")</f>
        <v/>
      </c>
      <c r="AJ29" s="141" t="e">
        <f>IF(AND('Mapa final'!#REF!="Media",'Mapa final'!#REF!="Catastrófico"),CONCATENATE("R4C",'Mapa final'!#REF!),"")</f>
        <v>#REF!</v>
      </c>
      <c r="AK29" s="141" t="str">
        <f>IF(AND('Mapa final'!$Y$33="Media",'Mapa final'!$AA$33="Catastrófico"),CONCATENATE("R4C",'Mapa final'!$O$33),"")</f>
        <v/>
      </c>
      <c r="AL29" s="141" t="e">
        <f>IF(AND('Mapa final'!#REF!="Media",'Mapa final'!#REF!="Catastrófico"),CONCATENATE("R4C",'Mapa final'!#REF!),"")</f>
        <v>#REF!</v>
      </c>
      <c r="AM29" s="142" t="e">
        <f>IF(AND('Mapa final'!#REF!="Media",'Mapa final'!#REF!="Catastrófico"),CONCATENATE("R4C",'Mapa final'!#REF!),"")</f>
        <v>#REF!</v>
      </c>
      <c r="AN29" s="64"/>
      <c r="AO29" s="149"/>
      <c r="AT29" s="150"/>
    </row>
    <row r="30" customHeight="1" spans="2:46">
      <c r="B30" s="63"/>
      <c r="D30" s="100"/>
      <c r="E30" s="103"/>
      <c r="I30" s="100"/>
      <c r="J30" s="121" t="str">
        <f>IF(AND('Mapa final'!$Y$36="Media",'Mapa final'!$AA$36="Leve"),CONCATENATE("R5C",'Mapa final'!$O$36),"")</f>
        <v/>
      </c>
      <c r="K30" s="122" t="str">
        <f>IF(AND('Mapa final'!$Y$37="Media",'Mapa final'!$AA$37="Leve"),CONCATENATE("R5C",'Mapa final'!$O$37),"")</f>
        <v/>
      </c>
      <c r="L30" s="122" t="str">
        <f>IF(AND('Mapa final'!$Y$38="Media",'Mapa final'!$AA$38="Leve"),CONCATENATE("R5C",'Mapa final'!$O$38),"")</f>
        <v/>
      </c>
      <c r="M30" s="122" t="e">
        <f>IF(AND('Mapa final'!#REF!="Media",'Mapa final'!#REF!="Leve"),CONCATENATE("R5C",'Mapa final'!#REF!),"")</f>
        <v>#REF!</v>
      </c>
      <c r="N30" s="122" t="e">
        <f>IF(AND('Mapa final'!#REF!="Media",'Mapa final'!#REF!="Leve"),CONCATENATE("R5C",'Mapa final'!#REF!),"")</f>
        <v>#REF!</v>
      </c>
      <c r="O30" s="123" t="e">
        <f>IF(AND('Mapa final'!#REF!="Media",'Mapa final'!#REF!="Leve"),CONCATENATE("R5C",'Mapa final'!#REF!),"")</f>
        <v>#REF!</v>
      </c>
      <c r="P30" s="121" t="str">
        <f>IF(AND('Mapa final'!$Y$36="Media",'Mapa final'!$AA$36="Menor"),CONCATENATE("R5C",'Mapa final'!$O$36),"")</f>
        <v/>
      </c>
      <c r="Q30" s="122" t="str">
        <f>IF(AND('Mapa final'!$Y$37="Media",'Mapa final'!$AA$37="Menor"),CONCATENATE("R5C",'Mapa final'!$O$37),"")</f>
        <v/>
      </c>
      <c r="R30" s="122" t="str">
        <f>IF(AND('Mapa final'!$Y$38="Media",'Mapa final'!$AA$38="Menor"),CONCATENATE("R5C",'Mapa final'!$O$38),"")</f>
        <v/>
      </c>
      <c r="S30" s="122" t="e">
        <f>IF(AND('Mapa final'!#REF!="Media",'Mapa final'!#REF!="Menor"),CONCATENATE("R5C",'Mapa final'!#REF!),"")</f>
        <v>#REF!</v>
      </c>
      <c r="T30" s="122" t="e">
        <f>IF(AND('Mapa final'!#REF!="Media",'Mapa final'!#REF!="Menor"),CONCATENATE("R5C",'Mapa final'!#REF!),"")</f>
        <v>#REF!</v>
      </c>
      <c r="U30" s="123" t="e">
        <f>IF(AND('Mapa final'!#REF!="Media",'Mapa final'!#REF!="Menor"),CONCATENATE("R5C",'Mapa final'!#REF!),"")</f>
        <v>#REF!</v>
      </c>
      <c r="V30" s="121" t="str">
        <f>IF(AND('Mapa final'!$Y$36="Media",'Mapa final'!$AA$36="Moderado"),CONCATENATE("R5C",'Mapa final'!$O$36),"")</f>
        <v/>
      </c>
      <c r="W30" s="122" t="str">
        <f>IF(AND('Mapa final'!$Y$37="Media",'Mapa final'!$AA$37="Moderado"),CONCATENATE("R5C",'Mapa final'!$O$37),"")</f>
        <v/>
      </c>
      <c r="X30" s="122" t="str">
        <f>IF(AND('Mapa final'!$Y$38="Media",'Mapa final'!$AA$38="Moderado"),CONCATENATE("R5C",'Mapa final'!$O$38),"")</f>
        <v/>
      </c>
      <c r="Y30" s="122" t="e">
        <f>IF(AND('Mapa final'!#REF!="Media",'Mapa final'!#REF!="Moderado"),CONCATENATE("R5C",'Mapa final'!#REF!),"")</f>
        <v>#REF!</v>
      </c>
      <c r="Z30" s="122" t="e">
        <f>IF(AND('Mapa final'!#REF!="Media",'Mapa final'!#REF!="Moderado"),CONCATENATE("R5C",'Mapa final'!#REF!),"")</f>
        <v>#REF!</v>
      </c>
      <c r="AA30" s="123" t="e">
        <f>IF(AND('Mapa final'!#REF!="Media",'Mapa final'!#REF!="Moderado"),CONCATENATE("R5C",'Mapa final'!#REF!),"")</f>
        <v>#REF!</v>
      </c>
      <c r="AB30" s="111" t="str">
        <f>IF(AND('Mapa final'!$Y$36="Media",'Mapa final'!$AA$36="Mayor"),CONCATENATE("R5C",'Mapa final'!$O$36),"")</f>
        <v/>
      </c>
      <c r="AC30" s="112" t="str">
        <f>IF(AND('Mapa final'!$Y$37="Media",'Mapa final'!$AA$37="Mayor"),CONCATENATE("R5C",'Mapa final'!$O$37),"")</f>
        <v/>
      </c>
      <c r="AD30" s="112" t="str">
        <f>IF(AND('Mapa final'!$Y$38="Media",'Mapa final'!$AA$38="Mayor"),CONCATENATE("R5C",'Mapa final'!$O$38),"")</f>
        <v/>
      </c>
      <c r="AE30" s="112" t="e">
        <f>IF(AND('Mapa final'!#REF!="Media",'Mapa final'!#REF!="Mayor"),CONCATENATE("R5C",'Mapa final'!#REF!),"")</f>
        <v>#REF!</v>
      </c>
      <c r="AF30" s="112" t="e">
        <f>IF(AND('Mapa final'!#REF!="Media",'Mapa final'!#REF!="Mayor"),CONCATENATE("R5C",'Mapa final'!#REF!),"")</f>
        <v>#REF!</v>
      </c>
      <c r="AG30" s="113" t="e">
        <f>IF(AND('Mapa final'!#REF!="Media",'Mapa final'!#REF!="Mayor"),CONCATENATE("R5C",'Mapa final'!#REF!),"")</f>
        <v>#REF!</v>
      </c>
      <c r="AH30" s="140" t="str">
        <f>IF(AND('Mapa final'!$Y$36="Media",'Mapa final'!$AA$36="Catastrófico"),CONCATENATE("R5C",'Mapa final'!$O$36),"")</f>
        <v/>
      </c>
      <c r="AI30" s="141" t="str">
        <f>IF(AND('Mapa final'!$Y$37="Media",'Mapa final'!$AA$37="Catastrófico"),CONCATENATE("R5C",'Mapa final'!$O$37),"")</f>
        <v/>
      </c>
      <c r="AJ30" s="141" t="str">
        <f>IF(AND('Mapa final'!$Y$38="Media",'Mapa final'!$AA$38="Catastrófico"),CONCATENATE("R5C",'Mapa final'!$O$38),"")</f>
        <v/>
      </c>
      <c r="AK30" s="141" t="e">
        <f>IF(AND('Mapa final'!#REF!="Media",'Mapa final'!#REF!="Catastrófico"),CONCATENATE("R5C",'Mapa final'!#REF!),"")</f>
        <v>#REF!</v>
      </c>
      <c r="AL30" s="141" t="e">
        <f>IF(AND('Mapa final'!#REF!="Media",'Mapa final'!#REF!="Catastrófico"),CONCATENATE("R5C",'Mapa final'!#REF!),"")</f>
        <v>#REF!</v>
      </c>
      <c r="AM30" s="142" t="e">
        <f>IF(AND('Mapa final'!#REF!="Media",'Mapa final'!#REF!="Catastrófico"),CONCATENATE("R5C",'Mapa final'!#REF!),"")</f>
        <v>#REF!</v>
      </c>
      <c r="AN30" s="64"/>
      <c r="AO30" s="149"/>
      <c r="AT30" s="150"/>
    </row>
    <row r="31" customHeight="1" spans="2:46">
      <c r="B31" s="63"/>
      <c r="D31" s="100"/>
      <c r="E31" s="103"/>
      <c r="I31" s="100"/>
      <c r="J31" s="121" t="str">
        <f>IF(AND('Mapa final'!$Y$41="Media",'Mapa final'!$AA$41="Leve"),CONCATENATE("R6C",'Mapa final'!$O$41),"")</f>
        <v/>
      </c>
      <c r="K31" s="122" t="str">
        <f>IF(AND('Mapa final'!$Y$42="Media",'Mapa final'!$AA$42="Leve"),CONCATENATE("R6C",'Mapa final'!$O$42),"")</f>
        <v/>
      </c>
      <c r="L31" s="122" t="str">
        <f>IF(AND('Mapa final'!$Y$43="Media",'Mapa final'!$AA$43="Leve"),CONCATENATE("R6C",'Mapa final'!$O$43),"")</f>
        <v/>
      </c>
      <c r="M31" s="122" t="e">
        <f>IF(AND('Mapa final'!#REF!="Media",'Mapa final'!#REF!="Leve"),CONCATENATE("R6C",'Mapa final'!#REF!),"")</f>
        <v>#REF!</v>
      </c>
      <c r="N31" s="122" t="e">
        <f>IF(AND('Mapa final'!#REF!="Media",'Mapa final'!#REF!="Leve"),CONCATENATE("R6C",'Mapa final'!#REF!),"")</f>
        <v>#REF!</v>
      </c>
      <c r="O31" s="123" t="e">
        <f>IF(AND('Mapa final'!#REF!="Media",'Mapa final'!#REF!="Leve"),CONCATENATE("R6C",'Mapa final'!#REF!),"")</f>
        <v>#REF!</v>
      </c>
      <c r="P31" s="121" t="str">
        <f>IF(AND('Mapa final'!$Y$41="Media",'Mapa final'!$AA$41="Menor"),CONCATENATE("R6C",'Mapa final'!$O$41),"")</f>
        <v/>
      </c>
      <c r="Q31" s="122" t="str">
        <f>IF(AND('Mapa final'!$Y$42="Media",'Mapa final'!$AA$42="Menor"),CONCATENATE("R6C",'Mapa final'!$O$42),"")</f>
        <v/>
      </c>
      <c r="R31" s="122" t="str">
        <f>IF(AND('Mapa final'!$Y$43="Media",'Mapa final'!$AA$43="Menor"),CONCATENATE("R6C",'Mapa final'!$O$43),"")</f>
        <v/>
      </c>
      <c r="S31" s="122" t="e">
        <f>IF(AND('Mapa final'!#REF!="Media",'Mapa final'!#REF!="Menor"),CONCATENATE("R6C",'Mapa final'!#REF!),"")</f>
        <v>#REF!</v>
      </c>
      <c r="T31" s="122" t="e">
        <f>IF(AND('Mapa final'!#REF!="Media",'Mapa final'!#REF!="Menor"),CONCATENATE("R6C",'Mapa final'!#REF!),"")</f>
        <v>#REF!</v>
      </c>
      <c r="U31" s="123" t="e">
        <f>IF(AND('Mapa final'!#REF!="Media",'Mapa final'!#REF!="Menor"),CONCATENATE("R6C",'Mapa final'!#REF!),"")</f>
        <v>#REF!</v>
      </c>
      <c r="V31" s="121" t="str">
        <f>IF(AND('Mapa final'!$Y$41="Media",'Mapa final'!$AA$41="Moderado"),CONCATENATE("R6C",'Mapa final'!$O$41),"")</f>
        <v/>
      </c>
      <c r="W31" s="122" t="str">
        <f>IF(AND('Mapa final'!$Y$42="Media",'Mapa final'!$AA$42="Moderado"),CONCATENATE("R6C",'Mapa final'!$O$42),"")</f>
        <v/>
      </c>
      <c r="X31" s="122" t="str">
        <f>IF(AND('Mapa final'!$Y$43="Media",'Mapa final'!$AA$43="Moderado"),CONCATENATE("R6C",'Mapa final'!$O$43),"")</f>
        <v/>
      </c>
      <c r="Y31" s="122" t="e">
        <f>IF(AND('Mapa final'!#REF!="Media",'Mapa final'!#REF!="Moderado"),CONCATENATE("R6C",'Mapa final'!#REF!),"")</f>
        <v>#REF!</v>
      </c>
      <c r="Z31" s="122" t="e">
        <f>IF(AND('Mapa final'!#REF!="Media",'Mapa final'!#REF!="Moderado"),CONCATENATE("R6C",'Mapa final'!#REF!),"")</f>
        <v>#REF!</v>
      </c>
      <c r="AA31" s="123" t="e">
        <f>IF(AND('Mapa final'!#REF!="Media",'Mapa final'!#REF!="Moderado"),CONCATENATE("R6C",'Mapa final'!#REF!),"")</f>
        <v>#REF!</v>
      </c>
      <c r="AB31" s="111" t="str">
        <f>IF(AND('Mapa final'!$Y$41="Media",'Mapa final'!$AA$41="Mayor"),CONCATENATE("R6C",'Mapa final'!$O$41),"")</f>
        <v/>
      </c>
      <c r="AC31" s="112" t="str">
        <f>IF(AND('Mapa final'!$Y$42="Media",'Mapa final'!$AA$42="Mayor"),CONCATENATE("R6C",'Mapa final'!$O$42),"")</f>
        <v/>
      </c>
      <c r="AD31" s="112" t="str">
        <f>IF(AND('Mapa final'!$Y$43="Media",'Mapa final'!$AA$43="Mayor"),CONCATENATE("R6C",'Mapa final'!$O$43),"")</f>
        <v/>
      </c>
      <c r="AE31" s="112" t="e">
        <f>IF(AND('Mapa final'!#REF!="Media",'Mapa final'!#REF!="Mayor"),CONCATENATE("R6C",'Mapa final'!#REF!),"")</f>
        <v>#REF!</v>
      </c>
      <c r="AF31" s="112" t="e">
        <f>IF(AND('Mapa final'!#REF!="Media",'Mapa final'!#REF!="Mayor"),CONCATENATE("R6C",'Mapa final'!#REF!),"")</f>
        <v>#REF!</v>
      </c>
      <c r="AG31" s="113" t="e">
        <f>IF(AND('Mapa final'!#REF!="Media",'Mapa final'!#REF!="Mayor"),CONCATENATE("R6C",'Mapa final'!#REF!),"")</f>
        <v>#REF!</v>
      </c>
      <c r="AH31" s="140" t="str">
        <f>IF(AND('Mapa final'!$Y$41="Media",'Mapa final'!$AA$41="Catastrófico"),CONCATENATE("R6C",'Mapa final'!$O$41),"")</f>
        <v/>
      </c>
      <c r="AI31" s="141" t="str">
        <f>IF(AND('Mapa final'!$Y$42="Media",'Mapa final'!$AA$42="Catastrófico"),CONCATENATE("R6C",'Mapa final'!$O$42),"")</f>
        <v/>
      </c>
      <c r="AJ31" s="141" t="str">
        <f>IF(AND('Mapa final'!$Y$43="Media",'Mapa final'!$AA$43="Catastrófico"),CONCATENATE("R6C",'Mapa final'!$O$43),"")</f>
        <v/>
      </c>
      <c r="AK31" s="141" t="e">
        <f>IF(AND('Mapa final'!#REF!="Media",'Mapa final'!#REF!="Catastrófico"),CONCATENATE("R6C",'Mapa final'!#REF!),"")</f>
        <v>#REF!</v>
      </c>
      <c r="AL31" s="141" t="e">
        <f>IF(AND('Mapa final'!#REF!="Media",'Mapa final'!#REF!="Catastrófico"),CONCATENATE("R6C",'Mapa final'!#REF!),"")</f>
        <v>#REF!</v>
      </c>
      <c r="AM31" s="142" t="e">
        <f>IF(AND('Mapa final'!#REF!="Media",'Mapa final'!#REF!="Catastrófico"),CONCATENATE("R6C",'Mapa final'!#REF!),"")</f>
        <v>#REF!</v>
      </c>
      <c r="AN31" s="64"/>
      <c r="AO31" s="149"/>
      <c r="AT31" s="150"/>
    </row>
    <row r="32" customHeight="1" spans="2:46">
      <c r="B32" s="63"/>
      <c r="D32" s="100"/>
      <c r="E32" s="103"/>
      <c r="I32" s="100"/>
      <c r="J32" s="121" t="e">
        <f>IF(AND('Mapa final'!#REF!="Media",'Mapa final'!#REF!="Leve"),CONCATENATE("R7C",'Mapa final'!#REF!),"")</f>
        <v>#REF!</v>
      </c>
      <c r="K32" s="122" t="e">
        <f>IF(AND('Mapa final'!#REF!="Media",'Mapa final'!#REF!="Leve"),CONCATENATE("R7C",'Mapa final'!#REF!),"")</f>
        <v>#REF!</v>
      </c>
      <c r="L32" s="122" t="e">
        <f>IF(AND('Mapa final'!#REF!="Media",'Mapa final'!#REF!="Leve"),CONCATENATE("R7C",'Mapa final'!#REF!),"")</f>
        <v>#REF!</v>
      </c>
      <c r="M32" s="122" t="e">
        <f>IF(AND('Mapa final'!#REF!="Media",'Mapa final'!#REF!="Leve"),CONCATENATE("R7C",'Mapa final'!#REF!),"")</f>
        <v>#REF!</v>
      </c>
      <c r="N32" s="122" t="e">
        <f>IF(AND('Mapa final'!#REF!="Media",'Mapa final'!#REF!="Leve"),CONCATENATE("R7C",'Mapa final'!#REF!),"")</f>
        <v>#REF!</v>
      </c>
      <c r="O32" s="123" t="e">
        <f>IF(AND('Mapa final'!#REF!="Media",'Mapa final'!#REF!="Leve"),CONCATENATE("R7C",'Mapa final'!#REF!),"")</f>
        <v>#REF!</v>
      </c>
      <c r="P32" s="121" t="e">
        <f>IF(AND('Mapa final'!#REF!="Media",'Mapa final'!#REF!="Menor"),CONCATENATE("R7C",'Mapa final'!#REF!),"")</f>
        <v>#REF!</v>
      </c>
      <c r="Q32" s="122" t="e">
        <f>IF(AND('Mapa final'!#REF!="Media",'Mapa final'!#REF!="Menor"),CONCATENATE("R7C",'Mapa final'!#REF!),"")</f>
        <v>#REF!</v>
      </c>
      <c r="R32" s="122" t="e">
        <f>IF(AND('Mapa final'!#REF!="Media",'Mapa final'!#REF!="Menor"),CONCATENATE("R7C",'Mapa final'!#REF!),"")</f>
        <v>#REF!</v>
      </c>
      <c r="S32" s="122" t="e">
        <f>IF(AND('Mapa final'!#REF!="Media",'Mapa final'!#REF!="Menor"),CONCATENATE("R7C",'Mapa final'!#REF!),"")</f>
        <v>#REF!</v>
      </c>
      <c r="T32" s="122" t="e">
        <f>IF(AND('Mapa final'!#REF!="Media",'Mapa final'!#REF!="Menor"),CONCATENATE("R7C",'Mapa final'!#REF!),"")</f>
        <v>#REF!</v>
      </c>
      <c r="U32" s="123" t="e">
        <f>IF(AND('Mapa final'!#REF!="Media",'Mapa final'!#REF!="Menor"),CONCATENATE("R7C",'Mapa final'!#REF!),"")</f>
        <v>#REF!</v>
      </c>
      <c r="V32" s="121" t="e">
        <f>IF(AND('Mapa final'!#REF!="Media",'Mapa final'!#REF!="Moderado"),CONCATENATE("R7C",'Mapa final'!#REF!),"")</f>
        <v>#REF!</v>
      </c>
      <c r="W32" s="122" t="e">
        <f>IF(AND('Mapa final'!#REF!="Media",'Mapa final'!#REF!="Moderado"),CONCATENATE("R7C",'Mapa final'!#REF!),"")</f>
        <v>#REF!</v>
      </c>
      <c r="X32" s="122" t="e">
        <f>IF(AND('Mapa final'!#REF!="Media",'Mapa final'!#REF!="Moderado"),CONCATENATE("R7C",'Mapa final'!#REF!),"")</f>
        <v>#REF!</v>
      </c>
      <c r="Y32" s="122" t="e">
        <f>IF(AND('Mapa final'!#REF!="Media",'Mapa final'!#REF!="Moderado"),CONCATENATE("R7C",'Mapa final'!#REF!),"")</f>
        <v>#REF!</v>
      </c>
      <c r="Z32" s="122" t="e">
        <f>IF(AND('Mapa final'!#REF!="Media",'Mapa final'!#REF!="Moderado"),CONCATENATE("R7C",'Mapa final'!#REF!),"")</f>
        <v>#REF!</v>
      </c>
      <c r="AA32" s="123" t="e">
        <f>IF(AND('Mapa final'!#REF!="Media",'Mapa final'!#REF!="Moderado"),CONCATENATE("R7C",'Mapa final'!#REF!),"")</f>
        <v>#REF!</v>
      </c>
      <c r="AB32" s="111" t="e">
        <f>IF(AND('Mapa final'!#REF!="Media",'Mapa final'!#REF!="Mayor"),CONCATENATE("R7C",'Mapa final'!#REF!),"")</f>
        <v>#REF!</v>
      </c>
      <c r="AC32" s="112" t="e">
        <f>IF(AND('Mapa final'!#REF!="Media",'Mapa final'!#REF!="Mayor"),CONCATENATE("R7C",'Mapa final'!#REF!),"")</f>
        <v>#REF!</v>
      </c>
      <c r="AD32" s="112" t="e">
        <f>IF(AND('Mapa final'!#REF!="Media",'Mapa final'!#REF!="Mayor"),CONCATENATE("R7C",'Mapa final'!#REF!),"")</f>
        <v>#REF!</v>
      </c>
      <c r="AE32" s="112" t="e">
        <f>IF(AND('Mapa final'!#REF!="Media",'Mapa final'!#REF!="Mayor"),CONCATENATE("R7C",'Mapa final'!#REF!),"")</f>
        <v>#REF!</v>
      </c>
      <c r="AF32" s="112" t="e">
        <f>IF(AND('Mapa final'!#REF!="Media",'Mapa final'!#REF!="Mayor"),CONCATENATE("R7C",'Mapa final'!#REF!),"")</f>
        <v>#REF!</v>
      </c>
      <c r="AG32" s="113" t="e">
        <f>IF(AND('Mapa final'!#REF!="Media",'Mapa final'!#REF!="Mayor"),CONCATENATE("R7C",'Mapa final'!#REF!),"")</f>
        <v>#REF!</v>
      </c>
      <c r="AH32" s="140" t="e">
        <f>IF(AND('Mapa final'!#REF!="Media",'Mapa final'!#REF!="Catastrófico"),CONCATENATE("R7C",'Mapa final'!#REF!),"")</f>
        <v>#REF!</v>
      </c>
      <c r="AI32" s="141" t="e">
        <f>IF(AND('Mapa final'!#REF!="Media",'Mapa final'!#REF!="Catastrófico"),CONCATENATE("R7C",'Mapa final'!#REF!),"")</f>
        <v>#REF!</v>
      </c>
      <c r="AJ32" s="141" t="e">
        <f>IF(AND('Mapa final'!#REF!="Media",'Mapa final'!#REF!="Catastrófico"),CONCATENATE("R7C",'Mapa final'!#REF!),"")</f>
        <v>#REF!</v>
      </c>
      <c r="AK32" s="141" t="e">
        <f>IF(AND('Mapa final'!#REF!="Media",'Mapa final'!#REF!="Catastrófico"),CONCATENATE("R7C",'Mapa final'!#REF!),"")</f>
        <v>#REF!</v>
      </c>
      <c r="AL32" s="141" t="e">
        <f>IF(AND('Mapa final'!#REF!="Media",'Mapa final'!#REF!="Catastrófico"),CONCATENATE("R7C",'Mapa final'!#REF!),"")</f>
        <v>#REF!</v>
      </c>
      <c r="AM32" s="142" t="e">
        <f>IF(AND('Mapa final'!#REF!="Media",'Mapa final'!#REF!="Catastrófico"),CONCATENATE("R7C",'Mapa final'!#REF!),"")</f>
        <v>#REF!</v>
      </c>
      <c r="AN32" s="64"/>
      <c r="AO32" s="149"/>
      <c r="AT32" s="150"/>
    </row>
    <row r="33" customHeight="1" spans="2:46">
      <c r="B33" s="63"/>
      <c r="D33" s="100"/>
      <c r="E33" s="103"/>
      <c r="I33" s="100"/>
      <c r="J33" s="121" t="e">
        <f>IF(AND('Mapa final'!#REF!="Media",'Mapa final'!#REF!="Leve"),CONCATENATE("R8C",'Mapa final'!#REF!),"")</f>
        <v>#REF!</v>
      </c>
      <c r="K33" s="122" t="e">
        <f>IF(AND('Mapa final'!#REF!="Media",'Mapa final'!#REF!="Leve"),CONCATENATE("R8C",'Mapa final'!#REF!),"")</f>
        <v>#REF!</v>
      </c>
      <c r="L33" s="122" t="e">
        <f>IF(AND('Mapa final'!#REF!="Media",'Mapa final'!#REF!="Leve"),CONCATENATE("R8C",'Mapa final'!#REF!),"")</f>
        <v>#REF!</v>
      </c>
      <c r="M33" s="122" t="e">
        <f>IF(AND('Mapa final'!#REF!="Media",'Mapa final'!#REF!="Leve"),CONCATENATE("R8C",'Mapa final'!#REF!),"")</f>
        <v>#REF!</v>
      </c>
      <c r="N33" s="122" t="e">
        <f>IF(AND('Mapa final'!#REF!="Media",'Mapa final'!#REF!="Leve"),CONCATENATE("R8C",'Mapa final'!#REF!),"")</f>
        <v>#REF!</v>
      </c>
      <c r="O33" s="123" t="e">
        <f>IF(AND('Mapa final'!#REF!="Media",'Mapa final'!#REF!="Leve"),CONCATENATE("R8C",'Mapa final'!#REF!),"")</f>
        <v>#REF!</v>
      </c>
      <c r="P33" s="121" t="e">
        <f>IF(AND('Mapa final'!#REF!="Media",'Mapa final'!#REF!="Menor"),CONCATENATE("R8C",'Mapa final'!#REF!),"")</f>
        <v>#REF!</v>
      </c>
      <c r="Q33" s="122" t="e">
        <f>IF(AND('Mapa final'!#REF!="Media",'Mapa final'!#REF!="Menor"),CONCATENATE("R8C",'Mapa final'!#REF!),"")</f>
        <v>#REF!</v>
      </c>
      <c r="R33" s="122" t="e">
        <f>IF(AND('Mapa final'!#REF!="Media",'Mapa final'!#REF!="Menor"),CONCATENATE("R8C",'Mapa final'!#REF!),"")</f>
        <v>#REF!</v>
      </c>
      <c r="S33" s="122" t="e">
        <f>IF(AND('Mapa final'!#REF!="Media",'Mapa final'!#REF!="Menor"),CONCATENATE("R8C",'Mapa final'!#REF!),"")</f>
        <v>#REF!</v>
      </c>
      <c r="T33" s="122" t="e">
        <f>IF(AND('Mapa final'!#REF!="Media",'Mapa final'!#REF!="Menor"),CONCATENATE("R8C",'Mapa final'!#REF!),"")</f>
        <v>#REF!</v>
      </c>
      <c r="U33" s="123" t="e">
        <f>IF(AND('Mapa final'!#REF!="Media",'Mapa final'!#REF!="Menor"),CONCATENATE("R8C",'Mapa final'!#REF!),"")</f>
        <v>#REF!</v>
      </c>
      <c r="V33" s="121" t="e">
        <f>IF(AND('Mapa final'!#REF!="Media",'Mapa final'!#REF!="Moderado"),CONCATENATE("R8C",'Mapa final'!#REF!),"")</f>
        <v>#REF!</v>
      </c>
      <c r="W33" s="122" t="e">
        <f>IF(AND('Mapa final'!#REF!="Media",'Mapa final'!#REF!="Moderado"),CONCATENATE("R8C",'Mapa final'!#REF!),"")</f>
        <v>#REF!</v>
      </c>
      <c r="X33" s="122" t="e">
        <f>IF(AND('Mapa final'!#REF!="Media",'Mapa final'!#REF!="Moderado"),CONCATENATE("R8C",'Mapa final'!#REF!),"")</f>
        <v>#REF!</v>
      </c>
      <c r="Y33" s="122" t="e">
        <f>IF(AND('Mapa final'!#REF!="Media",'Mapa final'!#REF!="Moderado"),CONCATENATE("R8C",'Mapa final'!#REF!),"")</f>
        <v>#REF!</v>
      </c>
      <c r="Z33" s="122" t="e">
        <f>IF(AND('Mapa final'!#REF!="Media",'Mapa final'!#REF!="Moderado"),CONCATENATE("R8C",'Mapa final'!#REF!),"")</f>
        <v>#REF!</v>
      </c>
      <c r="AA33" s="123" t="e">
        <f>IF(AND('Mapa final'!#REF!="Media",'Mapa final'!#REF!="Moderado"),CONCATENATE("R8C",'Mapa final'!#REF!),"")</f>
        <v>#REF!</v>
      </c>
      <c r="AB33" s="111" t="e">
        <f>IF(AND('Mapa final'!#REF!="Media",'Mapa final'!#REF!="Mayor"),CONCATENATE("R8C",'Mapa final'!#REF!),"")</f>
        <v>#REF!</v>
      </c>
      <c r="AC33" s="112" t="e">
        <f>IF(AND('Mapa final'!#REF!="Media",'Mapa final'!#REF!="Mayor"),CONCATENATE("R8C",'Mapa final'!#REF!),"")</f>
        <v>#REF!</v>
      </c>
      <c r="AD33" s="112" t="e">
        <f>IF(AND('Mapa final'!#REF!="Media",'Mapa final'!#REF!="Mayor"),CONCATENATE("R8C",'Mapa final'!#REF!),"")</f>
        <v>#REF!</v>
      </c>
      <c r="AE33" s="112" t="e">
        <f>IF(AND('Mapa final'!#REF!="Media",'Mapa final'!#REF!="Mayor"),CONCATENATE("R8C",'Mapa final'!#REF!),"")</f>
        <v>#REF!</v>
      </c>
      <c r="AF33" s="112" t="e">
        <f>IF(AND('Mapa final'!#REF!="Media",'Mapa final'!#REF!="Mayor"),CONCATENATE("R8C",'Mapa final'!#REF!),"")</f>
        <v>#REF!</v>
      </c>
      <c r="AG33" s="113" t="e">
        <f>IF(AND('Mapa final'!#REF!="Media",'Mapa final'!#REF!="Mayor"),CONCATENATE("R8C",'Mapa final'!#REF!),"")</f>
        <v>#REF!</v>
      </c>
      <c r="AH33" s="140" t="e">
        <f>IF(AND('Mapa final'!#REF!="Media",'Mapa final'!#REF!="Catastrófico"),CONCATENATE("R8C",'Mapa final'!#REF!),"")</f>
        <v>#REF!</v>
      </c>
      <c r="AI33" s="141" t="e">
        <f>IF(AND('Mapa final'!#REF!="Media",'Mapa final'!#REF!="Catastrófico"),CONCATENATE("R8C",'Mapa final'!#REF!),"")</f>
        <v>#REF!</v>
      </c>
      <c r="AJ33" s="141" t="e">
        <f>IF(AND('Mapa final'!#REF!="Media",'Mapa final'!#REF!="Catastrófico"),CONCATENATE("R8C",'Mapa final'!#REF!),"")</f>
        <v>#REF!</v>
      </c>
      <c r="AK33" s="141" t="e">
        <f>IF(AND('Mapa final'!#REF!="Media",'Mapa final'!#REF!="Catastrófico"),CONCATENATE("R8C",'Mapa final'!#REF!),"")</f>
        <v>#REF!</v>
      </c>
      <c r="AL33" s="141" t="e">
        <f>IF(AND('Mapa final'!#REF!="Media",'Mapa final'!#REF!="Catastrófico"),CONCATENATE("R8C",'Mapa final'!#REF!),"")</f>
        <v>#REF!</v>
      </c>
      <c r="AM33" s="142" t="e">
        <f>IF(AND('Mapa final'!#REF!="Media",'Mapa final'!#REF!="Catastrófico"),CONCATENATE("R8C",'Mapa final'!#REF!),"")</f>
        <v>#REF!</v>
      </c>
      <c r="AN33" s="64"/>
      <c r="AO33" s="149"/>
      <c r="AT33" s="150"/>
    </row>
    <row r="34" customHeight="1" spans="2:46">
      <c r="B34" s="63"/>
      <c r="D34" s="100"/>
      <c r="E34" s="103"/>
      <c r="I34" s="100"/>
      <c r="J34" s="121" t="e">
        <f>IF(AND('Mapa final'!#REF!="Media",'Mapa final'!#REF!="Leve"),CONCATENATE("R9C",'Mapa final'!#REF!),"")</f>
        <v>#REF!</v>
      </c>
      <c r="K34" s="122" t="e">
        <f>IF(AND('Mapa final'!#REF!="Media",'Mapa final'!#REF!="Leve"),CONCATENATE("R9C",'Mapa final'!#REF!),"")</f>
        <v>#REF!</v>
      </c>
      <c r="L34" s="122" t="e">
        <f>IF(AND('Mapa final'!#REF!="Media",'Mapa final'!#REF!="Leve"),CONCATENATE("R9C",'Mapa final'!#REF!),"")</f>
        <v>#REF!</v>
      </c>
      <c r="M34" s="122" t="e">
        <f>IF(AND('Mapa final'!#REF!="Media",'Mapa final'!#REF!="Leve"),CONCATENATE("R9C",'Mapa final'!#REF!),"")</f>
        <v>#REF!</v>
      </c>
      <c r="N34" s="122" t="e">
        <f>IF(AND('Mapa final'!#REF!="Media",'Mapa final'!#REF!="Leve"),CONCATENATE("R9C",'Mapa final'!#REF!),"")</f>
        <v>#REF!</v>
      </c>
      <c r="O34" s="123" t="e">
        <f>IF(AND('Mapa final'!#REF!="Media",'Mapa final'!#REF!="Leve"),CONCATENATE("R9C",'Mapa final'!#REF!),"")</f>
        <v>#REF!</v>
      </c>
      <c r="P34" s="121" t="e">
        <f>IF(AND('Mapa final'!#REF!="Media",'Mapa final'!#REF!="Menor"),CONCATENATE("R9C",'Mapa final'!#REF!),"")</f>
        <v>#REF!</v>
      </c>
      <c r="Q34" s="122" t="e">
        <f>IF(AND('Mapa final'!#REF!="Media",'Mapa final'!#REF!="Menor"),CONCATENATE("R9C",'Mapa final'!#REF!),"")</f>
        <v>#REF!</v>
      </c>
      <c r="R34" s="122" t="e">
        <f>IF(AND('Mapa final'!#REF!="Media",'Mapa final'!#REF!="Menor"),CONCATENATE("R9C",'Mapa final'!#REF!),"")</f>
        <v>#REF!</v>
      </c>
      <c r="S34" s="122" t="e">
        <f>IF(AND('Mapa final'!#REF!="Media",'Mapa final'!#REF!="Menor"),CONCATENATE("R9C",'Mapa final'!#REF!),"")</f>
        <v>#REF!</v>
      </c>
      <c r="T34" s="122" t="e">
        <f>IF(AND('Mapa final'!#REF!="Media",'Mapa final'!#REF!="Menor"),CONCATENATE("R9C",'Mapa final'!#REF!),"")</f>
        <v>#REF!</v>
      </c>
      <c r="U34" s="123" t="e">
        <f>IF(AND('Mapa final'!#REF!="Media",'Mapa final'!#REF!="Menor"),CONCATENATE("R9C",'Mapa final'!#REF!),"")</f>
        <v>#REF!</v>
      </c>
      <c r="V34" s="121" t="e">
        <f>IF(AND('Mapa final'!#REF!="Media",'Mapa final'!#REF!="Moderado"),CONCATENATE("R9C",'Mapa final'!#REF!),"")</f>
        <v>#REF!</v>
      </c>
      <c r="W34" s="122" t="e">
        <f>IF(AND('Mapa final'!#REF!="Media",'Mapa final'!#REF!="Moderado"),CONCATENATE("R9C",'Mapa final'!#REF!),"")</f>
        <v>#REF!</v>
      </c>
      <c r="X34" s="122" t="e">
        <f>IF(AND('Mapa final'!#REF!="Media",'Mapa final'!#REF!="Moderado"),CONCATENATE("R9C",'Mapa final'!#REF!),"")</f>
        <v>#REF!</v>
      </c>
      <c r="Y34" s="122" t="e">
        <f>IF(AND('Mapa final'!#REF!="Media",'Mapa final'!#REF!="Moderado"),CONCATENATE("R9C",'Mapa final'!#REF!),"")</f>
        <v>#REF!</v>
      </c>
      <c r="Z34" s="122" t="e">
        <f>IF(AND('Mapa final'!#REF!="Media",'Mapa final'!#REF!="Moderado"),CONCATENATE("R9C",'Mapa final'!#REF!),"")</f>
        <v>#REF!</v>
      </c>
      <c r="AA34" s="123" t="e">
        <f>IF(AND('Mapa final'!#REF!="Media",'Mapa final'!#REF!="Moderado"),CONCATENATE("R9C",'Mapa final'!#REF!),"")</f>
        <v>#REF!</v>
      </c>
      <c r="AB34" s="111" t="e">
        <f>IF(AND('Mapa final'!#REF!="Media",'Mapa final'!#REF!="Mayor"),CONCATENATE("R9C",'Mapa final'!#REF!),"")</f>
        <v>#REF!</v>
      </c>
      <c r="AC34" s="112" t="e">
        <f>IF(AND('Mapa final'!#REF!="Media",'Mapa final'!#REF!="Mayor"),CONCATENATE("R9C",'Mapa final'!#REF!),"")</f>
        <v>#REF!</v>
      </c>
      <c r="AD34" s="112" t="e">
        <f>IF(AND('Mapa final'!#REF!="Media",'Mapa final'!#REF!="Mayor"),CONCATENATE("R9C",'Mapa final'!#REF!),"")</f>
        <v>#REF!</v>
      </c>
      <c r="AE34" s="112" t="e">
        <f>IF(AND('Mapa final'!#REF!="Media",'Mapa final'!#REF!="Mayor"),CONCATENATE("R9C",'Mapa final'!#REF!),"")</f>
        <v>#REF!</v>
      </c>
      <c r="AF34" s="112" t="e">
        <f>IF(AND('Mapa final'!#REF!="Media",'Mapa final'!#REF!="Mayor"),CONCATENATE("R9C",'Mapa final'!#REF!),"")</f>
        <v>#REF!</v>
      </c>
      <c r="AG34" s="113" t="e">
        <f>IF(AND('Mapa final'!#REF!="Media",'Mapa final'!#REF!="Mayor"),CONCATENATE("R9C",'Mapa final'!#REF!),"")</f>
        <v>#REF!</v>
      </c>
      <c r="AH34" s="140" t="e">
        <f>IF(AND('Mapa final'!#REF!="Media",'Mapa final'!#REF!="Catastrófico"),CONCATENATE("R9C",'Mapa final'!#REF!),"")</f>
        <v>#REF!</v>
      </c>
      <c r="AI34" s="141" t="e">
        <f>IF(AND('Mapa final'!#REF!="Media",'Mapa final'!#REF!="Catastrófico"),CONCATENATE("R9C",'Mapa final'!#REF!),"")</f>
        <v>#REF!</v>
      </c>
      <c r="AJ34" s="141" t="e">
        <f>IF(AND('Mapa final'!#REF!="Media",'Mapa final'!#REF!="Catastrófico"),CONCATENATE("R9C",'Mapa final'!#REF!),"")</f>
        <v>#REF!</v>
      </c>
      <c r="AK34" s="141" t="e">
        <f>IF(AND('Mapa final'!#REF!="Media",'Mapa final'!#REF!="Catastrófico"),CONCATENATE("R9C",'Mapa final'!#REF!),"")</f>
        <v>#REF!</v>
      </c>
      <c r="AL34" s="141" t="e">
        <f>IF(AND('Mapa final'!#REF!="Media",'Mapa final'!#REF!="Catastrófico"),CONCATENATE("R9C",'Mapa final'!#REF!),"")</f>
        <v>#REF!</v>
      </c>
      <c r="AM34" s="142" t="e">
        <f>IF(AND('Mapa final'!#REF!="Media",'Mapa final'!#REF!="Catastrófico"),CONCATENATE("R9C",'Mapa final'!#REF!),"")</f>
        <v>#REF!</v>
      </c>
      <c r="AN34" s="64"/>
      <c r="AO34" s="149"/>
      <c r="AT34" s="150"/>
    </row>
    <row r="35" ht="15.75" customHeight="1" spans="2:46">
      <c r="B35" s="63"/>
      <c r="D35" s="100"/>
      <c r="E35" s="104"/>
      <c r="F35" s="105"/>
      <c r="G35" s="105"/>
      <c r="H35" s="105"/>
      <c r="I35" s="114"/>
      <c r="J35" s="121" t="e">
        <f>IF(AND('Mapa final'!#REF!="Media",'Mapa final'!#REF!="Leve"),CONCATENATE("R10C",'Mapa final'!#REF!),"")</f>
        <v>#REF!</v>
      </c>
      <c r="K35" s="122" t="e">
        <f>IF(AND('Mapa final'!#REF!="Media",'Mapa final'!#REF!="Leve"),CONCATENATE("R10C",'Mapa final'!#REF!),"")</f>
        <v>#REF!</v>
      </c>
      <c r="L35" s="122" t="e">
        <f>IF(AND('Mapa final'!#REF!="Media",'Mapa final'!#REF!="Leve"),CONCATENATE("R10C",'Mapa final'!#REF!),"")</f>
        <v>#REF!</v>
      </c>
      <c r="M35" s="122" t="e">
        <f>IF(AND('Mapa final'!#REF!="Media",'Mapa final'!#REF!="Leve"),CONCATENATE("R10C",'Mapa final'!#REF!),"")</f>
        <v>#REF!</v>
      </c>
      <c r="N35" s="122" t="e">
        <f>IF(AND('Mapa final'!#REF!="Media",'Mapa final'!#REF!="Leve"),CONCATENATE("R10C",'Mapa final'!#REF!),"")</f>
        <v>#REF!</v>
      </c>
      <c r="O35" s="123" t="e">
        <f>IF(AND('Mapa final'!#REF!="Media",'Mapa final'!#REF!="Leve"),CONCATENATE("R10C",'Mapa final'!#REF!),"")</f>
        <v>#REF!</v>
      </c>
      <c r="P35" s="121" t="e">
        <f>IF(AND('Mapa final'!#REF!="Media",'Mapa final'!#REF!="Menor"),CONCATENATE("R10C",'Mapa final'!#REF!),"")</f>
        <v>#REF!</v>
      </c>
      <c r="Q35" s="122" t="e">
        <f>IF(AND('Mapa final'!#REF!="Media",'Mapa final'!#REF!="Menor"),CONCATENATE("R10C",'Mapa final'!#REF!),"")</f>
        <v>#REF!</v>
      </c>
      <c r="R35" s="122" t="e">
        <f>IF(AND('Mapa final'!#REF!="Media",'Mapa final'!#REF!="Menor"),CONCATENATE("R10C",'Mapa final'!#REF!),"")</f>
        <v>#REF!</v>
      </c>
      <c r="S35" s="122" t="e">
        <f>IF(AND('Mapa final'!#REF!="Media",'Mapa final'!#REF!="Menor"),CONCATENATE("R10C",'Mapa final'!#REF!),"")</f>
        <v>#REF!</v>
      </c>
      <c r="T35" s="122" t="e">
        <f>IF(AND('Mapa final'!#REF!="Media",'Mapa final'!#REF!="Menor"),CONCATENATE("R10C",'Mapa final'!#REF!),"")</f>
        <v>#REF!</v>
      </c>
      <c r="U35" s="123" t="e">
        <f>IF(AND('Mapa final'!#REF!="Media",'Mapa final'!#REF!="Menor"),CONCATENATE("R10C",'Mapa final'!#REF!),"")</f>
        <v>#REF!</v>
      </c>
      <c r="V35" s="121" t="e">
        <f>IF(AND('Mapa final'!#REF!="Media",'Mapa final'!#REF!="Moderado"),CONCATENATE("R10C",'Mapa final'!#REF!),"")</f>
        <v>#REF!</v>
      </c>
      <c r="W35" s="122" t="e">
        <f>IF(AND('Mapa final'!#REF!="Media",'Mapa final'!#REF!="Moderado"),CONCATENATE("R10C",'Mapa final'!#REF!),"")</f>
        <v>#REF!</v>
      </c>
      <c r="X35" s="122" t="e">
        <f>IF(AND('Mapa final'!#REF!="Media",'Mapa final'!#REF!="Moderado"),CONCATENATE("R10C",'Mapa final'!#REF!),"")</f>
        <v>#REF!</v>
      </c>
      <c r="Y35" s="122" t="e">
        <f>IF(AND('Mapa final'!#REF!="Media",'Mapa final'!#REF!="Moderado"),CONCATENATE("R10C",'Mapa final'!#REF!),"")</f>
        <v>#REF!</v>
      </c>
      <c r="Z35" s="122" t="e">
        <f>IF(AND('Mapa final'!#REF!="Media",'Mapa final'!#REF!="Moderado"),CONCATENATE("R10C",'Mapa final'!#REF!),"")</f>
        <v>#REF!</v>
      </c>
      <c r="AA35" s="123" t="e">
        <f>IF(AND('Mapa final'!#REF!="Media",'Mapa final'!#REF!="Moderado"),CONCATENATE("R10C",'Mapa final'!#REF!),"")</f>
        <v>#REF!</v>
      </c>
      <c r="AB35" s="115" t="e">
        <f>IF(AND('Mapa final'!#REF!="Media",'Mapa final'!#REF!="Mayor"),CONCATENATE("R10C",'Mapa final'!#REF!),"")</f>
        <v>#REF!</v>
      </c>
      <c r="AC35" s="116" t="e">
        <f>IF(AND('Mapa final'!#REF!="Media",'Mapa final'!#REF!="Mayor"),CONCATENATE("R10C",'Mapa final'!#REF!),"")</f>
        <v>#REF!</v>
      </c>
      <c r="AD35" s="116" t="e">
        <f>IF(AND('Mapa final'!#REF!="Media",'Mapa final'!#REF!="Mayor"),CONCATENATE("R10C",'Mapa final'!#REF!),"")</f>
        <v>#REF!</v>
      </c>
      <c r="AE35" s="116" t="e">
        <f>IF(AND('Mapa final'!#REF!="Media",'Mapa final'!#REF!="Mayor"),CONCATENATE("R10C",'Mapa final'!#REF!),"")</f>
        <v>#REF!</v>
      </c>
      <c r="AF35" s="116" t="e">
        <f>IF(AND('Mapa final'!#REF!="Media",'Mapa final'!#REF!="Mayor"),CONCATENATE("R10C",'Mapa final'!#REF!),"")</f>
        <v>#REF!</v>
      </c>
      <c r="AG35" s="117" t="e">
        <f>IF(AND('Mapa final'!#REF!="Media",'Mapa final'!#REF!="Mayor"),CONCATENATE("R10C",'Mapa final'!#REF!),"")</f>
        <v>#REF!</v>
      </c>
      <c r="AH35" s="143" t="e">
        <f>IF(AND('Mapa final'!#REF!="Media",'Mapa final'!#REF!="Catastrófico"),CONCATENATE("R10C",'Mapa final'!#REF!),"")</f>
        <v>#REF!</v>
      </c>
      <c r="AI35" s="144" t="e">
        <f>IF(AND('Mapa final'!#REF!="Media",'Mapa final'!#REF!="Catastrófico"),CONCATENATE("R10C",'Mapa final'!#REF!),"")</f>
        <v>#REF!</v>
      </c>
      <c r="AJ35" s="144" t="e">
        <f>IF(AND('Mapa final'!#REF!="Media",'Mapa final'!#REF!="Catastrófico"),CONCATENATE("R10C",'Mapa final'!#REF!),"")</f>
        <v>#REF!</v>
      </c>
      <c r="AK35" s="144" t="e">
        <f>IF(AND('Mapa final'!#REF!="Media",'Mapa final'!#REF!="Catastrófico"),CONCATENATE("R10C",'Mapa final'!#REF!),"")</f>
        <v>#REF!</v>
      </c>
      <c r="AL35" s="144" t="e">
        <f>IF(AND('Mapa final'!#REF!="Media",'Mapa final'!#REF!="Catastrófico"),CONCATENATE("R10C",'Mapa final'!#REF!),"")</f>
        <v>#REF!</v>
      </c>
      <c r="AM35" s="145" t="e">
        <f>IF(AND('Mapa final'!#REF!="Media",'Mapa final'!#REF!="Catastrófico"),CONCATENATE("R10C",'Mapa final'!#REF!),"")</f>
        <v>#REF!</v>
      </c>
      <c r="AN35" s="64"/>
      <c r="AO35" s="151"/>
      <c r="AP35" s="152"/>
      <c r="AQ35" s="152"/>
      <c r="AR35" s="152"/>
      <c r="AS35" s="152"/>
      <c r="AT35" s="153"/>
    </row>
    <row r="36" customHeight="1" spans="2:46">
      <c r="B36" s="63"/>
      <c r="D36" s="100"/>
      <c r="E36" s="101" t="s">
        <v>137</v>
      </c>
      <c r="F36" s="102"/>
      <c r="G36" s="102"/>
      <c r="H36" s="102"/>
      <c r="I36" s="102"/>
      <c r="J36" s="127" t="str">
        <f>IF(AND('Mapa final'!$Y$16="Baja",'Mapa final'!$AA$16="Leve"),CONCATENATE("R1C",'Mapa final'!$O$16),"")</f>
        <v>R1C1</v>
      </c>
      <c r="K36" s="128" t="str">
        <f>IF(AND('Mapa final'!$Y$17="Baja",'Mapa final'!$AA$17="Leve"),CONCATENATE("R1C",'Mapa final'!$O$17),"")</f>
        <v/>
      </c>
      <c r="L36" s="128" t="str">
        <f>IF(AND('Mapa final'!$Y$18="Baja",'Mapa final'!$AA$18="Leve"),CONCATENATE("R1C",'Mapa final'!$O$18),"")</f>
        <v/>
      </c>
      <c r="M36" s="128" t="e">
        <f>IF(AND('Mapa final'!#REF!="Baja",'Mapa final'!#REF!="Leve"),CONCATENATE("R1C",'Mapa final'!#REF!),"")</f>
        <v>#REF!</v>
      </c>
      <c r="N36" s="128" t="e">
        <f>IF(AND('Mapa final'!#REF!="Baja",'Mapa final'!#REF!="Leve"),CONCATENATE("R1C",'Mapa final'!#REF!),"")</f>
        <v>#REF!</v>
      </c>
      <c r="O36" s="129" t="e">
        <f>IF(AND('Mapa final'!#REF!="Baja",'Mapa final'!#REF!="Leve"),CONCATENATE("R1C",'Mapa final'!#REF!),"")</f>
        <v>#REF!</v>
      </c>
      <c r="P36" s="118" t="str">
        <f>IF(AND('Mapa final'!$Y$16="Baja",'Mapa final'!$AA$16="Menor"),CONCATENATE("R1C",'Mapa final'!$O$16),"")</f>
        <v/>
      </c>
      <c r="Q36" s="119" t="str">
        <f>IF(AND('Mapa final'!$Y$17="Baja",'Mapa final'!$AA$17="Menor"),CONCATENATE("R1C",'Mapa final'!$O$17),"")</f>
        <v/>
      </c>
      <c r="R36" s="119" t="str">
        <f>IF(AND('Mapa final'!$Y$18="Baja",'Mapa final'!$AA$18="Menor"),CONCATENATE("R1C",'Mapa final'!$O$18),"")</f>
        <v/>
      </c>
      <c r="S36" s="119" t="e">
        <f>IF(AND('Mapa final'!#REF!="Baja",'Mapa final'!#REF!="Menor"),CONCATENATE("R1C",'Mapa final'!#REF!),"")</f>
        <v>#REF!</v>
      </c>
      <c r="T36" s="119" t="e">
        <f>IF(AND('Mapa final'!#REF!="Baja",'Mapa final'!#REF!="Menor"),CONCATENATE("R1C",'Mapa final'!#REF!),"")</f>
        <v>#REF!</v>
      </c>
      <c r="U36" s="120" t="e">
        <f>IF(AND('Mapa final'!#REF!="Baja",'Mapa final'!#REF!="Menor"),CONCATENATE("R1C",'Mapa final'!#REF!),"")</f>
        <v>#REF!</v>
      </c>
      <c r="V36" s="118" t="str">
        <f>IF(AND('Mapa final'!$Y$16="Baja",'Mapa final'!$AA$16="Moderado"),CONCATENATE("R1C",'Mapa final'!$O$16),"")</f>
        <v/>
      </c>
      <c r="W36" s="119" t="str">
        <f>IF(AND('Mapa final'!$Y$17="Baja",'Mapa final'!$AA$17="Moderado"),CONCATENATE("R1C",'Mapa final'!$O$17),"")</f>
        <v/>
      </c>
      <c r="X36" s="119" t="str">
        <f>IF(AND('Mapa final'!$Y$18="Baja",'Mapa final'!$AA$18="Moderado"),CONCATENATE("R1C",'Mapa final'!$O$18),"")</f>
        <v/>
      </c>
      <c r="Y36" s="119" t="e">
        <f>IF(AND('Mapa final'!#REF!="Baja",'Mapa final'!#REF!="Moderado"),CONCATENATE("R1C",'Mapa final'!#REF!),"")</f>
        <v>#REF!</v>
      </c>
      <c r="Z36" s="119" t="e">
        <f>IF(AND('Mapa final'!#REF!="Baja",'Mapa final'!#REF!="Moderado"),CONCATENATE("R1C",'Mapa final'!#REF!),"")</f>
        <v>#REF!</v>
      </c>
      <c r="AA36" s="120" t="e">
        <f>IF(AND('Mapa final'!#REF!="Baja",'Mapa final'!#REF!="Moderado"),CONCATENATE("R1C",'Mapa final'!#REF!),"")</f>
        <v>#REF!</v>
      </c>
      <c r="AB36" s="108" t="str">
        <f>IF(AND('Mapa final'!$Y$16="Baja",'Mapa final'!$AA$16="Mayor"),CONCATENATE("R1C",'Mapa final'!$O$16),"")</f>
        <v/>
      </c>
      <c r="AC36" s="109" t="str">
        <f>IF(AND('Mapa final'!$Y$17="Baja",'Mapa final'!$AA$17="Mayor"),CONCATENATE("R1C",'Mapa final'!$O$17),"")</f>
        <v/>
      </c>
      <c r="AD36" s="109" t="str">
        <f>IF(AND('Mapa final'!$Y$18="Baja",'Mapa final'!$AA$18="Mayor"),CONCATENATE("R1C",'Mapa final'!$O$18),"")</f>
        <v/>
      </c>
      <c r="AE36" s="109" t="e">
        <f>IF(AND('Mapa final'!#REF!="Baja",'Mapa final'!#REF!="Mayor"),CONCATENATE("R1C",'Mapa final'!#REF!),"")</f>
        <v>#REF!</v>
      </c>
      <c r="AF36" s="109" t="e">
        <f>IF(AND('Mapa final'!#REF!="Baja",'Mapa final'!#REF!="Mayor"),CONCATENATE("R1C",'Mapa final'!#REF!),"")</f>
        <v>#REF!</v>
      </c>
      <c r="AG36" s="110" t="e">
        <f>IF(AND('Mapa final'!#REF!="Baja",'Mapa final'!#REF!="Mayor"),CONCATENATE("R1C",'Mapa final'!#REF!),"")</f>
        <v>#REF!</v>
      </c>
      <c r="AH36" s="137" t="str">
        <f>IF(AND('Mapa final'!$Y$16="Baja",'Mapa final'!$AA$16="Catastrófico"),CONCATENATE("R1C",'Mapa final'!$O$16),"")</f>
        <v/>
      </c>
      <c r="AI36" s="138" t="str">
        <f>IF(AND('Mapa final'!$Y$17="Baja",'Mapa final'!$AA$17="Catastrófico"),CONCATENATE("R1C",'Mapa final'!$O$17),"")</f>
        <v/>
      </c>
      <c r="AJ36" s="138" t="str">
        <f>IF(AND('Mapa final'!$Y$18="Baja",'Mapa final'!$AA$18="Catastrófico"),CONCATENATE("R1C",'Mapa final'!$O$18),"")</f>
        <v/>
      </c>
      <c r="AK36" s="138" t="e">
        <f>IF(AND('Mapa final'!#REF!="Baja",'Mapa final'!#REF!="Catastrófico"),CONCATENATE("R1C",'Mapa final'!#REF!),"")</f>
        <v>#REF!</v>
      </c>
      <c r="AL36" s="138" t="e">
        <f>IF(AND('Mapa final'!#REF!="Baja",'Mapa final'!#REF!="Catastrófico"),CONCATENATE("R1C",'Mapa final'!#REF!),"")</f>
        <v>#REF!</v>
      </c>
      <c r="AM36" s="139" t="e">
        <f>IF(AND('Mapa final'!#REF!="Baja",'Mapa final'!#REF!="Catastrófico"),CONCATENATE("R1C",'Mapa final'!#REF!),"")</f>
        <v>#REF!</v>
      </c>
      <c r="AN36" s="64"/>
      <c r="AO36" s="156" t="s">
        <v>138</v>
      </c>
      <c r="AP36" s="147"/>
      <c r="AQ36" s="147"/>
      <c r="AR36" s="147"/>
      <c r="AS36" s="147"/>
      <c r="AT36" s="148"/>
    </row>
    <row r="37" customHeight="1" spans="2:46">
      <c r="B37" s="63"/>
      <c r="D37" s="100"/>
      <c r="E37" s="103"/>
      <c r="J37" s="130" t="str">
        <f>IF(AND('Mapa final'!$Y$21="Baja",'Mapa final'!$AA$21="Leve"),CONCATENATE("R2C",'Mapa final'!$O$21),"")</f>
        <v/>
      </c>
      <c r="K37" s="131" t="e">
        <f>IF(AND('Mapa final'!#REF!="Baja",'Mapa final'!#REF!="Leve"),CONCATENATE("R2C",'Mapa final'!#REF!),"")</f>
        <v>#REF!</v>
      </c>
      <c r="L37" s="131" t="e">
        <f>IF(AND('Mapa final'!#REF!="Baja",'Mapa final'!#REF!="Leve"),CONCATENATE("R2C",'Mapa final'!#REF!),"")</f>
        <v>#REF!</v>
      </c>
      <c r="M37" s="131" t="e">
        <f>IF(AND('Mapa final'!#REF!="Baja",'Mapa final'!#REF!="Leve"),CONCATENATE("R2C",'Mapa final'!#REF!),"")</f>
        <v>#REF!</v>
      </c>
      <c r="N37" s="131" t="str">
        <f>IF(AND('Mapa final'!$Y$22="Baja",'Mapa final'!$AA$22="Leve"),CONCATENATE("R2C",'Mapa final'!$O$22),"")</f>
        <v/>
      </c>
      <c r="O37" s="132" t="str">
        <f>IF(AND('Mapa final'!$Y$23="Baja",'Mapa final'!$AA$23="Leve"),CONCATENATE("R2C",'Mapa final'!$O$23),"")</f>
        <v/>
      </c>
      <c r="P37" s="121" t="str">
        <f>IF(AND('Mapa final'!$Y$21="Baja",'Mapa final'!$AA$21="Menor"),CONCATENATE("R2C",'Mapa final'!$O$21),"")</f>
        <v/>
      </c>
      <c r="Q37" s="122" t="e">
        <f>IF(AND('Mapa final'!#REF!="Baja",'Mapa final'!#REF!="Menor"),CONCATENATE("R2C",'Mapa final'!#REF!),"")</f>
        <v>#REF!</v>
      </c>
      <c r="R37" s="122" t="e">
        <f>IF(AND('Mapa final'!#REF!="Baja",'Mapa final'!#REF!="Menor"),CONCATENATE("R2C",'Mapa final'!#REF!),"")</f>
        <v>#REF!</v>
      </c>
      <c r="S37" s="122" t="e">
        <f>IF(AND('Mapa final'!#REF!="Baja",'Mapa final'!#REF!="Menor"),CONCATENATE("R2C",'Mapa final'!#REF!),"")</f>
        <v>#REF!</v>
      </c>
      <c r="T37" s="122" t="str">
        <f>IF(AND('Mapa final'!$Y$22="Baja",'Mapa final'!$AA$22="Menor"),CONCATENATE("R2C",'Mapa final'!$O$22),"")</f>
        <v/>
      </c>
      <c r="U37" s="123" t="str">
        <f>IF(AND('Mapa final'!$Y$23="Baja",'Mapa final'!$AA$23="Menor"),CONCATENATE("R2C",'Mapa final'!$O$23),"")</f>
        <v/>
      </c>
      <c r="V37" s="121" t="str">
        <f>IF(AND('Mapa final'!$Y$21="Baja",'Mapa final'!$AA$21="Moderado"),CONCATENATE("R2C",'Mapa final'!$O$21),"")</f>
        <v>R2C1</v>
      </c>
      <c r="W37" s="122" t="e">
        <f>IF(AND('Mapa final'!#REF!="Baja",'Mapa final'!#REF!="Moderado"),CONCATENATE("R2C",'Mapa final'!#REF!),"")</f>
        <v>#REF!</v>
      </c>
      <c r="X37" s="122" t="e">
        <f>IF(AND('Mapa final'!#REF!="Baja",'Mapa final'!#REF!="Moderado"),CONCATENATE("R2C",'Mapa final'!#REF!),"")</f>
        <v>#REF!</v>
      </c>
      <c r="Y37" s="122" t="e">
        <f>IF(AND('Mapa final'!#REF!="Baja",'Mapa final'!#REF!="Moderado"),CONCATENATE("R2C",'Mapa final'!#REF!),"")</f>
        <v>#REF!</v>
      </c>
      <c r="Z37" s="122" t="str">
        <f>IF(AND('Mapa final'!$Y$22="Baja",'Mapa final'!$AA$22="Moderado"),CONCATENATE("R2C",'Mapa final'!$O$22),"")</f>
        <v>R2C2</v>
      </c>
      <c r="AA37" s="123" t="str">
        <f>IF(AND('Mapa final'!$Y$23="Baja",'Mapa final'!$AA$23="Moderado"),CONCATENATE("R2C",'Mapa final'!$O$23),"")</f>
        <v/>
      </c>
      <c r="AB37" s="111" t="str">
        <f>IF(AND('Mapa final'!$Y$21="Baja",'Mapa final'!$AA$21="Mayor"),CONCATENATE("R2C",'Mapa final'!$O$21),"")</f>
        <v/>
      </c>
      <c r="AC37" s="112" t="e">
        <f>IF(AND('Mapa final'!#REF!="Baja",'Mapa final'!#REF!="Mayor"),CONCATENATE("R2C",'Mapa final'!#REF!),"")</f>
        <v>#REF!</v>
      </c>
      <c r="AD37" s="112" t="e">
        <f>IF(AND('Mapa final'!#REF!="Baja",'Mapa final'!#REF!="Mayor"),CONCATENATE("R2C",'Mapa final'!#REF!),"")</f>
        <v>#REF!</v>
      </c>
      <c r="AE37" s="112" t="e">
        <f>IF(AND('Mapa final'!#REF!="Baja",'Mapa final'!#REF!="Mayor"),CONCATENATE("R2C",'Mapa final'!#REF!),"")</f>
        <v>#REF!</v>
      </c>
      <c r="AF37" s="112" t="str">
        <f>IF(AND('Mapa final'!$Y$22="Baja",'Mapa final'!$AA$22="Mayor"),CONCATENATE("R2C",'Mapa final'!$O$22),"")</f>
        <v/>
      </c>
      <c r="AG37" s="113" t="str">
        <f>IF(AND('Mapa final'!$Y$23="Baja",'Mapa final'!$AA$23="Mayor"),CONCATENATE("R2C",'Mapa final'!$O$23),"")</f>
        <v/>
      </c>
      <c r="AH37" s="140" t="str">
        <f>IF(AND('Mapa final'!$Y$21="Baja",'Mapa final'!$AA$21="Catastrófico"),CONCATENATE("R2C",'Mapa final'!$O$21),"")</f>
        <v/>
      </c>
      <c r="AI37" s="141" t="e">
        <f>IF(AND('Mapa final'!#REF!="Baja",'Mapa final'!#REF!="Catastrófico"),CONCATENATE("R2C",'Mapa final'!#REF!),"")</f>
        <v>#REF!</v>
      </c>
      <c r="AJ37" s="141" t="e">
        <f>IF(AND('Mapa final'!#REF!="Baja",'Mapa final'!#REF!="Catastrófico"),CONCATENATE("R2C",'Mapa final'!#REF!),"")</f>
        <v>#REF!</v>
      </c>
      <c r="AK37" s="141" t="e">
        <f>IF(AND('Mapa final'!#REF!="Baja",'Mapa final'!#REF!="Catastrófico"),CONCATENATE("R2C",'Mapa final'!#REF!),"")</f>
        <v>#REF!</v>
      </c>
      <c r="AL37" s="141" t="str">
        <f>IF(AND('Mapa final'!$Y$22="Baja",'Mapa final'!$AA$22="Catastrófico"),CONCATENATE("R2C",'Mapa final'!$O$22),"")</f>
        <v/>
      </c>
      <c r="AM37" s="142" t="str">
        <f>IF(AND('Mapa final'!$Y$23="Baja",'Mapa final'!$AA$23="Catastrófico"),CONCATENATE("R2C",'Mapa final'!$O$23),"")</f>
        <v/>
      </c>
      <c r="AN37" s="64"/>
      <c r="AO37" s="149"/>
      <c r="AT37" s="150"/>
    </row>
    <row r="38" customHeight="1" spans="2:46">
      <c r="B38" s="63"/>
      <c r="D38" s="100"/>
      <c r="E38" s="103"/>
      <c r="J38" s="130" t="str">
        <f>IF(AND('Mapa final'!$Y$26="Baja",'Mapa final'!$AA$26="Leve"),CONCATENATE("R3C",'Mapa final'!$O$26),"")</f>
        <v/>
      </c>
      <c r="K38" s="131" t="str">
        <f>IF(AND('Mapa final'!$Y$27="Baja",'Mapa final'!$AA$27="Leve"),CONCATENATE("R3C",'Mapa final'!$O$27),"")</f>
        <v/>
      </c>
      <c r="L38" s="131" t="str">
        <f>IF(AND('Mapa final'!$Y$28="Baja",'Mapa final'!$AA$28="Leve"),CONCATENATE("R3C",'Mapa final'!$O$28),"")</f>
        <v/>
      </c>
      <c r="M38" s="131" t="e">
        <f>IF(AND('Mapa final'!#REF!="Baja",'Mapa final'!#REF!="Leve"),CONCATENATE("R3C",'Mapa final'!#REF!),"")</f>
        <v>#REF!</v>
      </c>
      <c r="N38" s="131" t="e">
        <f>IF(AND('Mapa final'!#REF!="Baja",'Mapa final'!#REF!="Leve"),CONCATENATE("R3C",'Mapa final'!#REF!),"")</f>
        <v>#REF!</v>
      </c>
      <c r="O38" s="132" t="e">
        <f>IF(AND('Mapa final'!#REF!="Baja",'Mapa final'!#REF!="Leve"),CONCATENATE("R3C",'Mapa final'!#REF!),"")</f>
        <v>#REF!</v>
      </c>
      <c r="P38" s="121" t="str">
        <f>IF(AND('Mapa final'!$Y$26="Baja",'Mapa final'!$AA$26="Menor"),CONCATENATE("R3C",'Mapa final'!$O$26),"")</f>
        <v/>
      </c>
      <c r="Q38" s="122" t="str">
        <f>IF(AND('Mapa final'!$Y$27="Baja",'Mapa final'!$AA$27="Menor"),CONCATENATE("R3C",'Mapa final'!$O$27),"")</f>
        <v/>
      </c>
      <c r="R38" s="122" t="str">
        <f>IF(AND('Mapa final'!$Y$28="Baja",'Mapa final'!$AA$28="Menor"),CONCATENATE("R3C",'Mapa final'!$O$28),"")</f>
        <v/>
      </c>
      <c r="S38" s="122" t="e">
        <f>IF(AND('Mapa final'!#REF!="Baja",'Mapa final'!#REF!="Menor"),CONCATENATE("R3C",'Mapa final'!#REF!),"")</f>
        <v>#REF!</v>
      </c>
      <c r="T38" s="122" t="e">
        <f>IF(AND('Mapa final'!#REF!="Baja",'Mapa final'!#REF!="Menor"),CONCATENATE("R3C",'Mapa final'!#REF!),"")</f>
        <v>#REF!</v>
      </c>
      <c r="U38" s="123" t="e">
        <f>IF(AND('Mapa final'!#REF!="Baja",'Mapa final'!#REF!="Menor"),CONCATENATE("R3C",'Mapa final'!#REF!),"")</f>
        <v>#REF!</v>
      </c>
      <c r="V38" s="121" t="str">
        <f>IF(AND('Mapa final'!$Y$26="Baja",'Mapa final'!$AA$26="Moderado"),CONCATENATE("R3C",'Mapa final'!$O$26),"")</f>
        <v/>
      </c>
      <c r="W38" s="122" t="str">
        <f>IF(AND('Mapa final'!$Y$27="Baja",'Mapa final'!$AA$27="Moderado"),CONCATENATE("R3C",'Mapa final'!$O$27),"")</f>
        <v/>
      </c>
      <c r="X38" s="122" t="str">
        <f>IF(AND('Mapa final'!$Y$28="Baja",'Mapa final'!$AA$28="Moderado"),CONCATENATE("R3C",'Mapa final'!$O$28),"")</f>
        <v/>
      </c>
      <c r="Y38" s="122" t="e">
        <f>IF(AND('Mapa final'!#REF!="Baja",'Mapa final'!#REF!="Moderado"),CONCATENATE("R3C",'Mapa final'!#REF!),"")</f>
        <v>#REF!</v>
      </c>
      <c r="Z38" s="122" t="e">
        <f>IF(AND('Mapa final'!#REF!="Baja",'Mapa final'!#REF!="Moderado"),CONCATENATE("R3C",'Mapa final'!#REF!),"")</f>
        <v>#REF!</v>
      </c>
      <c r="AA38" s="123" t="e">
        <f>IF(AND('Mapa final'!#REF!="Baja",'Mapa final'!#REF!="Moderado"),CONCATENATE("R3C",'Mapa final'!#REF!),"")</f>
        <v>#REF!</v>
      </c>
      <c r="AB38" s="111" t="str">
        <f>IF(AND('Mapa final'!$Y$26="Baja",'Mapa final'!$AA$26="Mayor"),CONCATENATE("R3C",'Mapa final'!$O$26),"")</f>
        <v/>
      </c>
      <c r="AC38" s="112" t="str">
        <f>IF(AND('Mapa final'!$Y$27="Baja",'Mapa final'!$AA$27="Mayor"),CONCATENATE("R3C",'Mapa final'!$O$27),"")</f>
        <v/>
      </c>
      <c r="AD38" s="112" t="str">
        <f>IF(AND('Mapa final'!$Y$28="Baja",'Mapa final'!$AA$28="Mayor"),CONCATENATE("R3C",'Mapa final'!$O$28),"")</f>
        <v/>
      </c>
      <c r="AE38" s="112" t="e">
        <f>IF(AND('Mapa final'!#REF!="Baja",'Mapa final'!#REF!="Mayor"),CONCATENATE("R3C",'Mapa final'!#REF!),"")</f>
        <v>#REF!</v>
      </c>
      <c r="AF38" s="112" t="e">
        <f>IF(AND('Mapa final'!#REF!="Baja",'Mapa final'!#REF!="Mayor"),CONCATENATE("R3C",'Mapa final'!#REF!),"")</f>
        <v>#REF!</v>
      </c>
      <c r="AG38" s="113" t="e">
        <f>IF(AND('Mapa final'!#REF!="Baja",'Mapa final'!#REF!="Mayor"),CONCATENATE("R3C",'Mapa final'!#REF!),"")</f>
        <v>#REF!</v>
      </c>
      <c r="AH38" s="140" t="str">
        <f>IF(AND('Mapa final'!$Y$26="Baja",'Mapa final'!$AA$26="Catastrófico"),CONCATENATE("R3C",'Mapa final'!$O$26),"")</f>
        <v/>
      </c>
      <c r="AI38" s="141" t="str">
        <f>IF(AND('Mapa final'!$Y$27="Baja",'Mapa final'!$AA$27="Catastrófico"),CONCATENATE("R3C",'Mapa final'!$O$27),"")</f>
        <v/>
      </c>
      <c r="AJ38" s="141" t="str">
        <f>IF(AND('Mapa final'!$Y$28="Baja",'Mapa final'!$AA$28="Catastrófico"),CONCATENATE("R3C",'Mapa final'!$O$28),"")</f>
        <v/>
      </c>
      <c r="AK38" s="141" t="e">
        <f>IF(AND('Mapa final'!#REF!="Baja",'Mapa final'!#REF!="Catastrófico"),CONCATENATE("R3C",'Mapa final'!#REF!),"")</f>
        <v>#REF!</v>
      </c>
      <c r="AL38" s="141" t="e">
        <f>IF(AND('Mapa final'!#REF!="Baja",'Mapa final'!#REF!="Catastrófico"),CONCATENATE("R3C",'Mapa final'!#REF!),"")</f>
        <v>#REF!</v>
      </c>
      <c r="AM38" s="142" t="e">
        <f>IF(AND('Mapa final'!#REF!="Baja",'Mapa final'!#REF!="Catastrófico"),CONCATENATE("R3C",'Mapa final'!#REF!),"")</f>
        <v>#REF!</v>
      </c>
      <c r="AN38" s="64"/>
      <c r="AO38" s="149"/>
      <c r="AT38" s="150"/>
    </row>
    <row r="39" customHeight="1" spans="2:46">
      <c r="B39" s="63"/>
      <c r="D39" s="100"/>
      <c r="E39" s="103"/>
      <c r="J39" s="130" t="str">
        <f>IF(AND('Mapa final'!$Y$31="Baja",'Mapa final'!$AA$31="Leve"),CONCATENATE("R4C",'Mapa final'!$O$31),"")</f>
        <v/>
      </c>
      <c r="K39" s="131" t="str">
        <f>IF(AND('Mapa final'!$Y$32="Baja",'Mapa final'!$AA$32="Leve"),CONCATENATE("R4C",'Mapa final'!$O$32),"")</f>
        <v/>
      </c>
      <c r="L39" s="131" t="e">
        <f>IF(AND('Mapa final'!#REF!="Baja",'Mapa final'!#REF!="Leve"),CONCATENATE("R4C",'Mapa final'!#REF!),"")</f>
        <v>#REF!</v>
      </c>
      <c r="M39" s="131" t="str">
        <f>IF(AND('Mapa final'!$Y$33="Baja",'Mapa final'!$AA$33="Leve"),CONCATENATE("R4C",'Mapa final'!$O$33),"")</f>
        <v/>
      </c>
      <c r="N39" s="131" t="e">
        <f>IF(AND('Mapa final'!#REF!="Baja",'Mapa final'!#REF!="Leve"),CONCATENATE("R4C",'Mapa final'!#REF!),"")</f>
        <v>#REF!</v>
      </c>
      <c r="O39" s="132" t="e">
        <f>IF(AND('Mapa final'!#REF!="Baja",'Mapa final'!#REF!="Leve"),CONCATENATE("R4C",'Mapa final'!#REF!),"")</f>
        <v>#REF!</v>
      </c>
      <c r="P39" s="121" t="str">
        <f>IF(AND('Mapa final'!$Y$31="Baja",'Mapa final'!$AA$31="Menor"),CONCATENATE("R4C",'Mapa final'!$O$31),"")</f>
        <v/>
      </c>
      <c r="Q39" s="122" t="str">
        <f>IF(AND('Mapa final'!$Y$32="Baja",'Mapa final'!$AA$32="Menor"),CONCATENATE("R4C",'Mapa final'!$O$32),"")</f>
        <v/>
      </c>
      <c r="R39" s="122" t="e">
        <f>IF(AND('Mapa final'!#REF!="Baja",'Mapa final'!#REF!="Menor"),CONCATENATE("R4C",'Mapa final'!#REF!),"")</f>
        <v>#REF!</v>
      </c>
      <c r="S39" s="122" t="str">
        <f>IF(AND('Mapa final'!$Y$33="Baja",'Mapa final'!$AA$33="Menor"),CONCATENATE("R4C",'Mapa final'!$O$33),"")</f>
        <v/>
      </c>
      <c r="T39" s="122" t="e">
        <f>IF(AND('Mapa final'!#REF!="Baja",'Mapa final'!#REF!="Menor"),CONCATENATE("R4C",'Mapa final'!#REF!),"")</f>
        <v>#REF!</v>
      </c>
      <c r="U39" s="123" t="e">
        <f>IF(AND('Mapa final'!#REF!="Baja",'Mapa final'!#REF!="Menor"),CONCATENATE("R4C",'Mapa final'!#REF!),"")</f>
        <v>#REF!</v>
      </c>
      <c r="V39" s="121" t="str">
        <f>IF(AND('Mapa final'!$Y$31="Baja",'Mapa final'!$AA$31="Moderado"),CONCATENATE("R4C",'Mapa final'!$O$31),"")</f>
        <v/>
      </c>
      <c r="W39" s="122" t="str">
        <f>IF(AND('Mapa final'!$Y$32="Baja",'Mapa final'!$AA$32="Moderado"),CONCATENATE("R4C",'Mapa final'!$O$32),"")</f>
        <v/>
      </c>
      <c r="X39" s="122" t="e">
        <f>IF(AND('Mapa final'!#REF!="Baja",'Mapa final'!#REF!="Moderado"),CONCATENATE("R4C",'Mapa final'!#REF!),"")</f>
        <v>#REF!</v>
      </c>
      <c r="Y39" s="122" t="str">
        <f>IF(AND('Mapa final'!$Y$33="Baja",'Mapa final'!$AA$33="Moderado"),CONCATENATE("R4C",'Mapa final'!$O$33),"")</f>
        <v/>
      </c>
      <c r="Z39" s="122" t="e">
        <f>IF(AND('Mapa final'!#REF!="Baja",'Mapa final'!#REF!="Moderado"),CONCATENATE("R4C",'Mapa final'!#REF!),"")</f>
        <v>#REF!</v>
      </c>
      <c r="AA39" s="123" t="e">
        <f>IF(AND('Mapa final'!#REF!="Baja",'Mapa final'!#REF!="Moderado"),CONCATENATE("R4C",'Mapa final'!#REF!),"")</f>
        <v>#REF!</v>
      </c>
      <c r="AB39" s="111" t="str">
        <f>IF(AND('Mapa final'!$Y$31="Baja",'Mapa final'!$AA$31="Mayor"),CONCATENATE("R4C",'Mapa final'!$O$31),"")</f>
        <v/>
      </c>
      <c r="AC39" s="112" t="str">
        <f>IF(AND('Mapa final'!$Y$32="Baja",'Mapa final'!$AA$32="Mayor"),CONCATENATE("R4C",'Mapa final'!$O$32),"")</f>
        <v/>
      </c>
      <c r="AD39" s="112" t="e">
        <f>IF(AND('Mapa final'!#REF!="Baja",'Mapa final'!#REF!="Mayor"),CONCATENATE("R4C",'Mapa final'!#REF!),"")</f>
        <v>#REF!</v>
      </c>
      <c r="AE39" s="112" t="str">
        <f>IF(AND('Mapa final'!$Y$33="Baja",'Mapa final'!$AA$33="Mayor"),CONCATENATE("R4C",'Mapa final'!$O$33),"")</f>
        <v/>
      </c>
      <c r="AF39" s="112" t="e">
        <f>IF(AND('Mapa final'!#REF!="Baja",'Mapa final'!#REF!="Mayor"),CONCATENATE("R4C",'Mapa final'!#REF!),"")</f>
        <v>#REF!</v>
      </c>
      <c r="AG39" s="113" t="e">
        <f>IF(AND('Mapa final'!#REF!="Baja",'Mapa final'!#REF!="Mayor"),CONCATENATE("R4C",'Mapa final'!#REF!),"")</f>
        <v>#REF!</v>
      </c>
      <c r="AH39" s="140" t="str">
        <f>IF(AND('Mapa final'!$Y$31="Baja",'Mapa final'!$AA$31="Catastrófico"),CONCATENATE("R4C",'Mapa final'!$O$31),"")</f>
        <v/>
      </c>
      <c r="AI39" s="141" t="str">
        <f>IF(AND('Mapa final'!$Y$32="Baja",'Mapa final'!$AA$32="Catastrófico"),CONCATENATE("R4C",'Mapa final'!$O$32),"")</f>
        <v/>
      </c>
      <c r="AJ39" s="141" t="e">
        <f>IF(AND('Mapa final'!#REF!="Baja",'Mapa final'!#REF!="Catastrófico"),CONCATENATE("R4C",'Mapa final'!#REF!),"")</f>
        <v>#REF!</v>
      </c>
      <c r="AK39" s="141" t="str">
        <f>IF(AND('Mapa final'!$Y$33="Baja",'Mapa final'!$AA$33="Catastrófico"),CONCATENATE("R4C",'Mapa final'!$O$33),"")</f>
        <v/>
      </c>
      <c r="AL39" s="141" t="e">
        <f>IF(AND('Mapa final'!#REF!="Baja",'Mapa final'!#REF!="Catastrófico"),CONCATENATE("R4C",'Mapa final'!#REF!),"")</f>
        <v>#REF!</v>
      </c>
      <c r="AM39" s="142" t="e">
        <f>IF(AND('Mapa final'!#REF!="Baja",'Mapa final'!#REF!="Catastrófico"),CONCATENATE("R4C",'Mapa final'!#REF!),"")</f>
        <v>#REF!</v>
      </c>
      <c r="AN39" s="64"/>
      <c r="AO39" s="149"/>
      <c r="AT39" s="150"/>
    </row>
    <row r="40" customHeight="1" spans="2:46">
      <c r="B40" s="63"/>
      <c r="D40" s="100"/>
      <c r="E40" s="103"/>
      <c r="J40" s="130" t="str">
        <f>IF(AND('Mapa final'!$Y$36="Baja",'Mapa final'!$AA$36="Leve"),CONCATENATE("R5C",'Mapa final'!$O$36),"")</f>
        <v/>
      </c>
      <c r="K40" s="131" t="str">
        <f>IF(AND('Mapa final'!$Y$37="Baja",'Mapa final'!$AA$37="Leve"),CONCATENATE("R5C",'Mapa final'!$O$37),"")</f>
        <v/>
      </c>
      <c r="L40" s="131" t="str">
        <f>IF(AND('Mapa final'!$Y$38="Baja",'Mapa final'!$AA$38="Leve"),CONCATENATE("R5C",'Mapa final'!$O$38),"")</f>
        <v/>
      </c>
      <c r="M40" s="131" t="e">
        <f>IF(AND('Mapa final'!#REF!="Baja",'Mapa final'!#REF!="Leve"),CONCATENATE("R5C",'Mapa final'!#REF!),"")</f>
        <v>#REF!</v>
      </c>
      <c r="N40" s="131" t="e">
        <f>IF(AND('Mapa final'!#REF!="Baja",'Mapa final'!#REF!="Leve"),CONCATENATE("R5C",'Mapa final'!#REF!),"")</f>
        <v>#REF!</v>
      </c>
      <c r="O40" s="132" t="e">
        <f>IF(AND('Mapa final'!#REF!="Baja",'Mapa final'!#REF!="Leve"),CONCATENATE("R5C",'Mapa final'!#REF!),"")</f>
        <v>#REF!</v>
      </c>
      <c r="P40" s="121" t="str">
        <f>IF(AND('Mapa final'!$Y$36="Baja",'Mapa final'!$AA$36="Menor"),CONCATENATE("R5C",'Mapa final'!$O$36),"")</f>
        <v/>
      </c>
      <c r="Q40" s="122" t="str">
        <f>IF(AND('Mapa final'!$Y$37="Baja",'Mapa final'!$AA$37="Menor"),CONCATENATE("R5C",'Mapa final'!$O$37),"")</f>
        <v/>
      </c>
      <c r="R40" s="122" t="str">
        <f>IF(AND('Mapa final'!$Y$38="Baja",'Mapa final'!$AA$38="Menor"),CONCATENATE("R5C",'Mapa final'!$O$38),"")</f>
        <v/>
      </c>
      <c r="S40" s="122" t="e">
        <f>IF(AND('Mapa final'!#REF!="Baja",'Mapa final'!#REF!="Menor"),CONCATENATE("R5C",'Mapa final'!#REF!),"")</f>
        <v>#REF!</v>
      </c>
      <c r="T40" s="122" t="e">
        <f>IF(AND('Mapa final'!#REF!="Baja",'Mapa final'!#REF!="Menor"),CONCATENATE("R5C",'Mapa final'!#REF!),"")</f>
        <v>#REF!</v>
      </c>
      <c r="U40" s="123" t="e">
        <f>IF(AND('Mapa final'!#REF!="Baja",'Mapa final'!#REF!="Menor"),CONCATENATE("R5C",'Mapa final'!#REF!),"")</f>
        <v>#REF!</v>
      </c>
      <c r="V40" s="121" t="str">
        <f>IF(AND('Mapa final'!$Y$36="Baja",'Mapa final'!$AA$36="Moderado"),CONCATENATE("R5C",'Mapa final'!$O$36),"")</f>
        <v/>
      </c>
      <c r="W40" s="122" t="str">
        <f>IF(AND('Mapa final'!$Y$37="Baja",'Mapa final'!$AA$37="Moderado"),CONCATENATE("R5C",'Mapa final'!$O$37),"")</f>
        <v/>
      </c>
      <c r="X40" s="122" t="str">
        <f>IF(AND('Mapa final'!$Y$38="Baja",'Mapa final'!$AA$38="Moderado"),CONCATENATE("R5C",'Mapa final'!$O$38),"")</f>
        <v/>
      </c>
      <c r="Y40" s="122" t="e">
        <f>IF(AND('Mapa final'!#REF!="Baja",'Mapa final'!#REF!="Moderado"),CONCATENATE("R5C",'Mapa final'!#REF!),"")</f>
        <v>#REF!</v>
      </c>
      <c r="Z40" s="122" t="e">
        <f>IF(AND('Mapa final'!#REF!="Baja",'Mapa final'!#REF!="Moderado"),CONCATENATE("R5C",'Mapa final'!#REF!),"")</f>
        <v>#REF!</v>
      </c>
      <c r="AA40" s="123" t="e">
        <f>IF(AND('Mapa final'!#REF!="Baja",'Mapa final'!#REF!="Moderado"),CONCATENATE("R5C",'Mapa final'!#REF!),"")</f>
        <v>#REF!</v>
      </c>
      <c r="AB40" s="111" t="str">
        <f>IF(AND('Mapa final'!$Y$36="Baja",'Mapa final'!$AA$36="Mayor"),CONCATENATE("R5C",'Mapa final'!$O$36),"")</f>
        <v/>
      </c>
      <c r="AC40" s="112" t="str">
        <f>IF(AND('Mapa final'!$Y$37="Baja",'Mapa final'!$AA$37="Mayor"),CONCATENATE("R5C",'Mapa final'!$O$37),"")</f>
        <v/>
      </c>
      <c r="AD40" s="112" t="str">
        <f>IF(AND('Mapa final'!$Y$38="Baja",'Mapa final'!$AA$38="Mayor"),CONCATENATE("R5C",'Mapa final'!$O$38),"")</f>
        <v/>
      </c>
      <c r="AE40" s="112" t="e">
        <f>IF(AND('Mapa final'!#REF!="Baja",'Mapa final'!#REF!="Mayor"),CONCATENATE("R5C",'Mapa final'!#REF!),"")</f>
        <v>#REF!</v>
      </c>
      <c r="AF40" s="112" t="e">
        <f>IF(AND('Mapa final'!#REF!="Baja",'Mapa final'!#REF!="Mayor"),CONCATENATE("R5C",'Mapa final'!#REF!),"")</f>
        <v>#REF!</v>
      </c>
      <c r="AG40" s="113" t="e">
        <f>IF(AND('Mapa final'!#REF!="Baja",'Mapa final'!#REF!="Mayor"),CONCATENATE("R5C",'Mapa final'!#REF!),"")</f>
        <v>#REF!</v>
      </c>
      <c r="AH40" s="140" t="str">
        <f>IF(AND('Mapa final'!$Y$36="Baja",'Mapa final'!$AA$36="Catastrófico"),CONCATENATE("R5C",'Mapa final'!$O$36),"")</f>
        <v/>
      </c>
      <c r="AI40" s="141" t="str">
        <f>IF(AND('Mapa final'!$Y$37="Baja",'Mapa final'!$AA$37="Catastrófico"),CONCATENATE("R5C",'Mapa final'!$O$37),"")</f>
        <v/>
      </c>
      <c r="AJ40" s="141" t="str">
        <f>IF(AND('Mapa final'!$Y$38="Baja",'Mapa final'!$AA$38="Catastrófico"),CONCATENATE("R5C",'Mapa final'!$O$38),"")</f>
        <v/>
      </c>
      <c r="AK40" s="141" t="e">
        <f>IF(AND('Mapa final'!#REF!="Baja",'Mapa final'!#REF!="Catastrófico"),CONCATENATE("R5C",'Mapa final'!#REF!),"")</f>
        <v>#REF!</v>
      </c>
      <c r="AL40" s="141" t="e">
        <f>IF(AND('Mapa final'!#REF!="Baja",'Mapa final'!#REF!="Catastrófico"),CONCATENATE("R5C",'Mapa final'!#REF!),"")</f>
        <v>#REF!</v>
      </c>
      <c r="AM40" s="142" t="e">
        <f>IF(AND('Mapa final'!#REF!="Baja",'Mapa final'!#REF!="Catastrófico"),CONCATENATE("R5C",'Mapa final'!#REF!),"")</f>
        <v>#REF!</v>
      </c>
      <c r="AN40" s="64"/>
      <c r="AO40" s="149"/>
      <c r="AT40" s="150"/>
    </row>
    <row r="41" customHeight="1" spans="2:46">
      <c r="B41" s="63"/>
      <c r="D41" s="100"/>
      <c r="E41" s="103"/>
      <c r="J41" s="130" t="str">
        <f>IF(AND('Mapa final'!$Y$41="Baja",'Mapa final'!$AA$41="Leve"),CONCATENATE("R6C",'Mapa final'!$O$41),"")</f>
        <v/>
      </c>
      <c r="K41" s="131" t="str">
        <f>IF(AND('Mapa final'!$Y$42="Baja",'Mapa final'!$AA$42="Leve"),CONCATENATE("R6C",'Mapa final'!$O$42),"")</f>
        <v/>
      </c>
      <c r="L41" s="131" t="str">
        <f>IF(AND('Mapa final'!$Y$43="Baja",'Mapa final'!$AA$43="Leve"),CONCATENATE("R6C",'Mapa final'!$O$43),"")</f>
        <v/>
      </c>
      <c r="M41" s="131" t="e">
        <f>IF(AND('Mapa final'!#REF!="Baja",'Mapa final'!#REF!="Leve"),CONCATENATE("R6C",'Mapa final'!#REF!),"")</f>
        <v>#REF!</v>
      </c>
      <c r="N41" s="131" t="e">
        <f>IF(AND('Mapa final'!#REF!="Baja",'Mapa final'!#REF!="Leve"),CONCATENATE("R6C",'Mapa final'!#REF!),"")</f>
        <v>#REF!</v>
      </c>
      <c r="O41" s="132" t="e">
        <f>IF(AND('Mapa final'!#REF!="Baja",'Mapa final'!#REF!="Leve"),CONCATENATE("R6C",'Mapa final'!#REF!),"")</f>
        <v>#REF!</v>
      </c>
      <c r="P41" s="121" t="str">
        <f>IF(AND('Mapa final'!$Y$41="Baja",'Mapa final'!$AA$41="Menor"),CONCATENATE("R6C",'Mapa final'!$O$41),"")</f>
        <v/>
      </c>
      <c r="Q41" s="122" t="str">
        <f>IF(AND('Mapa final'!$Y$42="Baja",'Mapa final'!$AA$42="Menor"),CONCATENATE("R6C",'Mapa final'!$O$42),"")</f>
        <v/>
      </c>
      <c r="R41" s="122" t="str">
        <f>IF(AND('Mapa final'!$Y$43="Baja",'Mapa final'!$AA$43="Menor"),CONCATENATE("R6C",'Mapa final'!$O$43),"")</f>
        <v/>
      </c>
      <c r="S41" s="122" t="e">
        <f>IF(AND('Mapa final'!#REF!="Baja",'Mapa final'!#REF!="Menor"),CONCATENATE("R6C",'Mapa final'!#REF!),"")</f>
        <v>#REF!</v>
      </c>
      <c r="T41" s="122" t="e">
        <f>IF(AND('Mapa final'!#REF!="Baja",'Mapa final'!#REF!="Menor"),CONCATENATE("R6C",'Mapa final'!#REF!),"")</f>
        <v>#REF!</v>
      </c>
      <c r="U41" s="123" t="e">
        <f>IF(AND('Mapa final'!#REF!="Baja",'Mapa final'!#REF!="Menor"),CONCATENATE("R6C",'Mapa final'!#REF!),"")</f>
        <v>#REF!</v>
      </c>
      <c r="V41" s="121" t="str">
        <f>IF(AND('Mapa final'!$Y$41="Baja",'Mapa final'!$AA$41="Moderado"),CONCATENATE("R6C",'Mapa final'!$O$41),"")</f>
        <v/>
      </c>
      <c r="W41" s="122" t="str">
        <f>IF(AND('Mapa final'!$Y$42="Baja",'Mapa final'!$AA$42="Moderado"),CONCATENATE("R6C",'Mapa final'!$O$42),"")</f>
        <v/>
      </c>
      <c r="X41" s="122" t="str">
        <f>IF(AND('Mapa final'!$Y$43="Baja",'Mapa final'!$AA$43="Moderado"),CONCATENATE("R6C",'Mapa final'!$O$43),"")</f>
        <v/>
      </c>
      <c r="Y41" s="122" t="e">
        <f>IF(AND('Mapa final'!#REF!="Baja",'Mapa final'!#REF!="Moderado"),CONCATENATE("R6C",'Mapa final'!#REF!),"")</f>
        <v>#REF!</v>
      </c>
      <c r="Z41" s="122" t="e">
        <f>IF(AND('Mapa final'!#REF!="Baja",'Mapa final'!#REF!="Moderado"),CONCATENATE("R6C",'Mapa final'!#REF!),"")</f>
        <v>#REF!</v>
      </c>
      <c r="AA41" s="123" t="e">
        <f>IF(AND('Mapa final'!#REF!="Baja",'Mapa final'!#REF!="Moderado"),CONCATENATE("R6C",'Mapa final'!#REF!),"")</f>
        <v>#REF!</v>
      </c>
      <c r="AB41" s="111" t="str">
        <f>IF(AND('Mapa final'!$Y$41="Baja",'Mapa final'!$AA$41="Mayor"),CONCATENATE("R6C",'Mapa final'!$O$41),"")</f>
        <v/>
      </c>
      <c r="AC41" s="112" t="str">
        <f>IF(AND('Mapa final'!$Y$42="Baja",'Mapa final'!$AA$42="Mayor"),CONCATENATE("R6C",'Mapa final'!$O$42),"")</f>
        <v/>
      </c>
      <c r="AD41" s="112" t="str">
        <f>IF(AND('Mapa final'!$Y$43="Baja",'Mapa final'!$AA$43="Mayor"),CONCATENATE("R6C",'Mapa final'!$O$43),"")</f>
        <v/>
      </c>
      <c r="AE41" s="112" t="e">
        <f>IF(AND('Mapa final'!#REF!="Baja",'Mapa final'!#REF!="Mayor"),CONCATENATE("R6C",'Mapa final'!#REF!),"")</f>
        <v>#REF!</v>
      </c>
      <c r="AF41" s="112" t="e">
        <f>IF(AND('Mapa final'!#REF!="Baja",'Mapa final'!#REF!="Mayor"),CONCATENATE("R6C",'Mapa final'!#REF!),"")</f>
        <v>#REF!</v>
      </c>
      <c r="AG41" s="113" t="e">
        <f>IF(AND('Mapa final'!#REF!="Baja",'Mapa final'!#REF!="Mayor"),CONCATENATE("R6C",'Mapa final'!#REF!),"")</f>
        <v>#REF!</v>
      </c>
      <c r="AH41" s="140" t="str">
        <f>IF(AND('Mapa final'!$Y$41="Baja",'Mapa final'!$AA$41="Catastrófico"),CONCATENATE("R6C",'Mapa final'!$O$41),"")</f>
        <v/>
      </c>
      <c r="AI41" s="141" t="str">
        <f>IF(AND('Mapa final'!$Y$42="Baja",'Mapa final'!$AA$42="Catastrófico"),CONCATENATE("R6C",'Mapa final'!$O$42),"")</f>
        <v/>
      </c>
      <c r="AJ41" s="141" t="str">
        <f>IF(AND('Mapa final'!$Y$43="Baja",'Mapa final'!$AA$43="Catastrófico"),CONCATENATE("R6C",'Mapa final'!$O$43),"")</f>
        <v/>
      </c>
      <c r="AK41" s="141" t="e">
        <f>IF(AND('Mapa final'!#REF!="Baja",'Mapa final'!#REF!="Catastrófico"),CONCATENATE("R6C",'Mapa final'!#REF!),"")</f>
        <v>#REF!</v>
      </c>
      <c r="AL41" s="141" t="e">
        <f>IF(AND('Mapa final'!#REF!="Baja",'Mapa final'!#REF!="Catastrófico"),CONCATENATE("R6C",'Mapa final'!#REF!),"")</f>
        <v>#REF!</v>
      </c>
      <c r="AM41" s="142" t="e">
        <f>IF(AND('Mapa final'!#REF!="Baja",'Mapa final'!#REF!="Catastrófico"),CONCATENATE("R6C",'Mapa final'!#REF!),"")</f>
        <v>#REF!</v>
      </c>
      <c r="AN41" s="64"/>
      <c r="AO41" s="149"/>
      <c r="AT41" s="150"/>
    </row>
    <row r="42" customHeight="1" spans="2:46">
      <c r="B42" s="63"/>
      <c r="D42" s="100"/>
      <c r="E42" s="103"/>
      <c r="J42" s="130" t="e">
        <f>IF(AND('Mapa final'!#REF!="Baja",'Mapa final'!#REF!="Leve"),CONCATENATE("R7C",'Mapa final'!#REF!),"")</f>
        <v>#REF!</v>
      </c>
      <c r="K42" s="131" t="e">
        <f>IF(AND('Mapa final'!#REF!="Baja",'Mapa final'!#REF!="Leve"),CONCATENATE("R7C",'Mapa final'!#REF!),"")</f>
        <v>#REF!</v>
      </c>
      <c r="L42" s="131" t="e">
        <f>IF(AND('Mapa final'!#REF!="Baja",'Mapa final'!#REF!="Leve"),CONCATENATE("R7C",'Mapa final'!#REF!),"")</f>
        <v>#REF!</v>
      </c>
      <c r="M42" s="131" t="e">
        <f>IF(AND('Mapa final'!#REF!="Baja",'Mapa final'!#REF!="Leve"),CONCATENATE("R7C",'Mapa final'!#REF!),"")</f>
        <v>#REF!</v>
      </c>
      <c r="N42" s="131" t="e">
        <f>IF(AND('Mapa final'!#REF!="Baja",'Mapa final'!#REF!="Leve"),CONCATENATE("R7C",'Mapa final'!#REF!),"")</f>
        <v>#REF!</v>
      </c>
      <c r="O42" s="132" t="e">
        <f>IF(AND('Mapa final'!#REF!="Baja",'Mapa final'!#REF!="Leve"),CONCATENATE("R7C",'Mapa final'!#REF!),"")</f>
        <v>#REF!</v>
      </c>
      <c r="P42" s="121" t="e">
        <f>IF(AND('Mapa final'!#REF!="Baja",'Mapa final'!#REF!="Menor"),CONCATENATE("R7C",'Mapa final'!#REF!),"")</f>
        <v>#REF!</v>
      </c>
      <c r="Q42" s="122" t="e">
        <f>IF(AND('Mapa final'!#REF!="Baja",'Mapa final'!#REF!="Menor"),CONCATENATE("R7C",'Mapa final'!#REF!),"")</f>
        <v>#REF!</v>
      </c>
      <c r="R42" s="122" t="e">
        <f>IF(AND('Mapa final'!#REF!="Baja",'Mapa final'!#REF!="Menor"),CONCATENATE("R7C",'Mapa final'!#REF!),"")</f>
        <v>#REF!</v>
      </c>
      <c r="S42" s="122" t="e">
        <f>IF(AND('Mapa final'!#REF!="Baja",'Mapa final'!#REF!="Menor"),CONCATENATE("R7C",'Mapa final'!#REF!),"")</f>
        <v>#REF!</v>
      </c>
      <c r="T42" s="122" t="e">
        <f>IF(AND('Mapa final'!#REF!="Baja",'Mapa final'!#REF!="Menor"),CONCATENATE("R7C",'Mapa final'!#REF!),"")</f>
        <v>#REF!</v>
      </c>
      <c r="U42" s="123" t="e">
        <f>IF(AND('Mapa final'!#REF!="Baja",'Mapa final'!#REF!="Menor"),CONCATENATE("R7C",'Mapa final'!#REF!),"")</f>
        <v>#REF!</v>
      </c>
      <c r="V42" s="121" t="e">
        <f>IF(AND('Mapa final'!#REF!="Baja",'Mapa final'!#REF!="Moderado"),CONCATENATE("R7C",'Mapa final'!#REF!),"")</f>
        <v>#REF!</v>
      </c>
      <c r="W42" s="122" t="e">
        <f>IF(AND('Mapa final'!#REF!="Baja",'Mapa final'!#REF!="Moderado"),CONCATENATE("R7C",'Mapa final'!#REF!),"")</f>
        <v>#REF!</v>
      </c>
      <c r="X42" s="122" t="e">
        <f>IF(AND('Mapa final'!#REF!="Baja",'Mapa final'!#REF!="Moderado"),CONCATENATE("R7C",'Mapa final'!#REF!),"")</f>
        <v>#REF!</v>
      </c>
      <c r="Y42" s="122" t="e">
        <f>IF(AND('Mapa final'!#REF!="Baja",'Mapa final'!#REF!="Moderado"),CONCATENATE("R7C",'Mapa final'!#REF!),"")</f>
        <v>#REF!</v>
      </c>
      <c r="Z42" s="122" t="e">
        <f>IF(AND('Mapa final'!#REF!="Baja",'Mapa final'!#REF!="Moderado"),CONCATENATE("R7C",'Mapa final'!#REF!),"")</f>
        <v>#REF!</v>
      </c>
      <c r="AA42" s="123" t="e">
        <f>IF(AND('Mapa final'!#REF!="Baja",'Mapa final'!#REF!="Moderado"),CONCATENATE("R7C",'Mapa final'!#REF!),"")</f>
        <v>#REF!</v>
      </c>
      <c r="AB42" s="111" t="e">
        <f>IF(AND('Mapa final'!#REF!="Baja",'Mapa final'!#REF!="Mayor"),CONCATENATE("R7C",'Mapa final'!#REF!),"")</f>
        <v>#REF!</v>
      </c>
      <c r="AC42" s="112" t="e">
        <f>IF(AND('Mapa final'!#REF!="Baja",'Mapa final'!#REF!="Mayor"),CONCATENATE("R7C",'Mapa final'!#REF!),"")</f>
        <v>#REF!</v>
      </c>
      <c r="AD42" s="112" t="e">
        <f>IF(AND('Mapa final'!#REF!="Baja",'Mapa final'!#REF!="Mayor"),CONCATENATE("R7C",'Mapa final'!#REF!),"")</f>
        <v>#REF!</v>
      </c>
      <c r="AE42" s="112" t="e">
        <f>IF(AND('Mapa final'!#REF!="Baja",'Mapa final'!#REF!="Mayor"),CONCATENATE("R7C",'Mapa final'!#REF!),"")</f>
        <v>#REF!</v>
      </c>
      <c r="AF42" s="112" t="e">
        <f>IF(AND('Mapa final'!#REF!="Baja",'Mapa final'!#REF!="Mayor"),CONCATENATE("R7C",'Mapa final'!#REF!),"")</f>
        <v>#REF!</v>
      </c>
      <c r="AG42" s="113" t="e">
        <f>IF(AND('Mapa final'!#REF!="Baja",'Mapa final'!#REF!="Mayor"),CONCATENATE("R7C",'Mapa final'!#REF!),"")</f>
        <v>#REF!</v>
      </c>
      <c r="AH42" s="140" t="e">
        <f>IF(AND('Mapa final'!#REF!="Baja",'Mapa final'!#REF!="Catastrófico"),CONCATENATE("R7C",'Mapa final'!#REF!),"")</f>
        <v>#REF!</v>
      </c>
      <c r="AI42" s="141" t="e">
        <f>IF(AND('Mapa final'!#REF!="Baja",'Mapa final'!#REF!="Catastrófico"),CONCATENATE("R7C",'Mapa final'!#REF!),"")</f>
        <v>#REF!</v>
      </c>
      <c r="AJ42" s="141" t="e">
        <f>IF(AND('Mapa final'!#REF!="Baja",'Mapa final'!#REF!="Catastrófico"),CONCATENATE("R7C",'Mapa final'!#REF!),"")</f>
        <v>#REF!</v>
      </c>
      <c r="AK42" s="141" t="e">
        <f>IF(AND('Mapa final'!#REF!="Baja",'Mapa final'!#REF!="Catastrófico"),CONCATENATE("R7C",'Mapa final'!#REF!),"")</f>
        <v>#REF!</v>
      </c>
      <c r="AL42" s="141" t="e">
        <f>IF(AND('Mapa final'!#REF!="Baja",'Mapa final'!#REF!="Catastrófico"),CONCATENATE("R7C",'Mapa final'!#REF!),"")</f>
        <v>#REF!</v>
      </c>
      <c r="AM42" s="142" t="e">
        <f>IF(AND('Mapa final'!#REF!="Baja",'Mapa final'!#REF!="Catastrófico"),CONCATENATE("R7C",'Mapa final'!#REF!),"")</f>
        <v>#REF!</v>
      </c>
      <c r="AN42" s="64"/>
      <c r="AO42" s="149"/>
      <c r="AT42" s="150"/>
    </row>
    <row r="43" customHeight="1" spans="2:46">
      <c r="B43" s="63"/>
      <c r="D43" s="100"/>
      <c r="E43" s="103"/>
      <c r="J43" s="130" t="e">
        <f>IF(AND('Mapa final'!#REF!="Baja",'Mapa final'!#REF!="Leve"),CONCATENATE("R8C",'Mapa final'!#REF!),"")</f>
        <v>#REF!</v>
      </c>
      <c r="K43" s="131" t="e">
        <f>IF(AND('Mapa final'!#REF!="Baja",'Mapa final'!#REF!="Leve"),CONCATENATE("R8C",'Mapa final'!#REF!),"")</f>
        <v>#REF!</v>
      </c>
      <c r="L43" s="131" t="e">
        <f>IF(AND('Mapa final'!#REF!="Baja",'Mapa final'!#REF!="Leve"),CONCATENATE("R8C",'Mapa final'!#REF!),"")</f>
        <v>#REF!</v>
      </c>
      <c r="M43" s="131" t="e">
        <f>IF(AND('Mapa final'!#REF!="Baja",'Mapa final'!#REF!="Leve"),CONCATENATE("R8C",'Mapa final'!#REF!),"")</f>
        <v>#REF!</v>
      </c>
      <c r="N43" s="131" t="e">
        <f>IF(AND('Mapa final'!#REF!="Baja",'Mapa final'!#REF!="Leve"),CONCATENATE("R8C",'Mapa final'!#REF!),"")</f>
        <v>#REF!</v>
      </c>
      <c r="O43" s="132" t="e">
        <f>IF(AND('Mapa final'!#REF!="Baja",'Mapa final'!#REF!="Leve"),CONCATENATE("R8C",'Mapa final'!#REF!),"")</f>
        <v>#REF!</v>
      </c>
      <c r="P43" s="121" t="e">
        <f>IF(AND('Mapa final'!#REF!="Baja",'Mapa final'!#REF!="Menor"),CONCATENATE("R8C",'Mapa final'!#REF!),"")</f>
        <v>#REF!</v>
      </c>
      <c r="Q43" s="122" t="e">
        <f>IF(AND('Mapa final'!#REF!="Baja",'Mapa final'!#REF!="Menor"),CONCATENATE("R8C",'Mapa final'!#REF!),"")</f>
        <v>#REF!</v>
      </c>
      <c r="R43" s="122" t="e">
        <f>IF(AND('Mapa final'!#REF!="Baja",'Mapa final'!#REF!="Menor"),CONCATENATE("R8C",'Mapa final'!#REF!),"")</f>
        <v>#REF!</v>
      </c>
      <c r="S43" s="122" t="e">
        <f>IF(AND('Mapa final'!#REF!="Baja",'Mapa final'!#REF!="Menor"),CONCATENATE("R8C",'Mapa final'!#REF!),"")</f>
        <v>#REF!</v>
      </c>
      <c r="T43" s="122" t="e">
        <f>IF(AND('Mapa final'!#REF!="Baja",'Mapa final'!#REF!="Menor"),CONCATENATE("R8C",'Mapa final'!#REF!),"")</f>
        <v>#REF!</v>
      </c>
      <c r="U43" s="123" t="e">
        <f>IF(AND('Mapa final'!#REF!="Baja",'Mapa final'!#REF!="Menor"),CONCATENATE("R8C",'Mapa final'!#REF!),"")</f>
        <v>#REF!</v>
      </c>
      <c r="V43" s="121" t="e">
        <f>IF(AND('Mapa final'!#REF!="Baja",'Mapa final'!#REF!="Moderado"),CONCATENATE("R8C",'Mapa final'!#REF!),"")</f>
        <v>#REF!</v>
      </c>
      <c r="W43" s="122" t="e">
        <f>IF(AND('Mapa final'!#REF!="Baja",'Mapa final'!#REF!="Moderado"),CONCATENATE("R8C",'Mapa final'!#REF!),"")</f>
        <v>#REF!</v>
      </c>
      <c r="X43" s="122" t="e">
        <f>IF(AND('Mapa final'!#REF!="Baja",'Mapa final'!#REF!="Moderado"),CONCATENATE("R8C",'Mapa final'!#REF!),"")</f>
        <v>#REF!</v>
      </c>
      <c r="Y43" s="122" t="e">
        <f>IF(AND('Mapa final'!#REF!="Baja",'Mapa final'!#REF!="Moderado"),CONCATENATE("R8C",'Mapa final'!#REF!),"")</f>
        <v>#REF!</v>
      </c>
      <c r="Z43" s="122" t="e">
        <f>IF(AND('Mapa final'!#REF!="Baja",'Mapa final'!#REF!="Moderado"),CONCATENATE("R8C",'Mapa final'!#REF!),"")</f>
        <v>#REF!</v>
      </c>
      <c r="AA43" s="123" t="e">
        <f>IF(AND('Mapa final'!#REF!="Baja",'Mapa final'!#REF!="Moderado"),CONCATENATE("R8C",'Mapa final'!#REF!),"")</f>
        <v>#REF!</v>
      </c>
      <c r="AB43" s="111" t="e">
        <f>IF(AND('Mapa final'!#REF!="Baja",'Mapa final'!#REF!="Mayor"),CONCATENATE("R8C",'Mapa final'!#REF!),"")</f>
        <v>#REF!</v>
      </c>
      <c r="AC43" s="112" t="e">
        <f>IF(AND('Mapa final'!#REF!="Baja",'Mapa final'!#REF!="Mayor"),CONCATENATE("R8C",'Mapa final'!#REF!),"")</f>
        <v>#REF!</v>
      </c>
      <c r="AD43" s="112" t="e">
        <f>IF(AND('Mapa final'!#REF!="Baja",'Mapa final'!#REF!="Mayor"),CONCATENATE("R8C",'Mapa final'!#REF!),"")</f>
        <v>#REF!</v>
      </c>
      <c r="AE43" s="112" t="e">
        <f>IF(AND('Mapa final'!#REF!="Baja",'Mapa final'!#REF!="Mayor"),CONCATENATE("R8C",'Mapa final'!#REF!),"")</f>
        <v>#REF!</v>
      </c>
      <c r="AF43" s="112" t="e">
        <f>IF(AND('Mapa final'!#REF!="Baja",'Mapa final'!#REF!="Mayor"),CONCATENATE("R8C",'Mapa final'!#REF!),"")</f>
        <v>#REF!</v>
      </c>
      <c r="AG43" s="113" t="e">
        <f>IF(AND('Mapa final'!#REF!="Baja",'Mapa final'!#REF!="Mayor"),CONCATENATE("R8C",'Mapa final'!#REF!),"")</f>
        <v>#REF!</v>
      </c>
      <c r="AH43" s="140" t="e">
        <f>IF(AND('Mapa final'!#REF!="Baja",'Mapa final'!#REF!="Catastrófico"),CONCATENATE("R8C",'Mapa final'!#REF!),"")</f>
        <v>#REF!</v>
      </c>
      <c r="AI43" s="141" t="e">
        <f>IF(AND('Mapa final'!#REF!="Baja",'Mapa final'!#REF!="Catastrófico"),CONCATENATE("R8C",'Mapa final'!#REF!),"")</f>
        <v>#REF!</v>
      </c>
      <c r="AJ43" s="141" t="e">
        <f>IF(AND('Mapa final'!#REF!="Baja",'Mapa final'!#REF!="Catastrófico"),CONCATENATE("R8C",'Mapa final'!#REF!),"")</f>
        <v>#REF!</v>
      </c>
      <c r="AK43" s="141" t="e">
        <f>IF(AND('Mapa final'!#REF!="Baja",'Mapa final'!#REF!="Catastrófico"),CONCATENATE("R8C",'Mapa final'!#REF!),"")</f>
        <v>#REF!</v>
      </c>
      <c r="AL43" s="141" t="e">
        <f>IF(AND('Mapa final'!#REF!="Baja",'Mapa final'!#REF!="Catastrófico"),CONCATENATE("R8C",'Mapa final'!#REF!),"")</f>
        <v>#REF!</v>
      </c>
      <c r="AM43" s="142" t="e">
        <f>IF(AND('Mapa final'!#REF!="Baja",'Mapa final'!#REF!="Catastrófico"),CONCATENATE("R8C",'Mapa final'!#REF!),"")</f>
        <v>#REF!</v>
      </c>
      <c r="AN43" s="64"/>
      <c r="AO43" s="149"/>
      <c r="AT43" s="150"/>
    </row>
    <row r="44" customHeight="1" spans="2:46">
      <c r="B44" s="63"/>
      <c r="D44" s="100"/>
      <c r="E44" s="103"/>
      <c r="J44" s="130" t="e">
        <f>IF(AND('Mapa final'!#REF!="Baja",'Mapa final'!#REF!="Leve"),CONCATENATE("R9C",'Mapa final'!#REF!),"")</f>
        <v>#REF!</v>
      </c>
      <c r="K44" s="131" t="e">
        <f>IF(AND('Mapa final'!#REF!="Baja",'Mapa final'!#REF!="Leve"),CONCATENATE("R9C",'Mapa final'!#REF!),"")</f>
        <v>#REF!</v>
      </c>
      <c r="L44" s="131" t="e">
        <f>IF(AND('Mapa final'!#REF!="Baja",'Mapa final'!#REF!="Leve"),CONCATENATE("R9C",'Mapa final'!#REF!),"")</f>
        <v>#REF!</v>
      </c>
      <c r="M44" s="131" t="e">
        <f>IF(AND('Mapa final'!#REF!="Baja",'Mapa final'!#REF!="Leve"),CONCATENATE("R9C",'Mapa final'!#REF!),"")</f>
        <v>#REF!</v>
      </c>
      <c r="N44" s="131" t="e">
        <f>IF(AND('Mapa final'!#REF!="Baja",'Mapa final'!#REF!="Leve"),CONCATENATE("R9C",'Mapa final'!#REF!),"")</f>
        <v>#REF!</v>
      </c>
      <c r="O44" s="132" t="e">
        <f>IF(AND('Mapa final'!#REF!="Baja",'Mapa final'!#REF!="Leve"),CONCATENATE("R9C",'Mapa final'!#REF!),"")</f>
        <v>#REF!</v>
      </c>
      <c r="P44" s="121" t="e">
        <f>IF(AND('Mapa final'!#REF!="Baja",'Mapa final'!#REF!="Menor"),CONCATENATE("R9C",'Mapa final'!#REF!),"")</f>
        <v>#REF!</v>
      </c>
      <c r="Q44" s="122" t="e">
        <f>IF(AND('Mapa final'!#REF!="Baja",'Mapa final'!#REF!="Menor"),CONCATENATE("R9C",'Mapa final'!#REF!),"")</f>
        <v>#REF!</v>
      </c>
      <c r="R44" s="122" t="e">
        <f>IF(AND('Mapa final'!#REF!="Baja",'Mapa final'!#REF!="Menor"),CONCATENATE("R9C",'Mapa final'!#REF!),"")</f>
        <v>#REF!</v>
      </c>
      <c r="S44" s="122" t="e">
        <f>IF(AND('Mapa final'!#REF!="Baja",'Mapa final'!#REF!="Menor"),CONCATENATE("R9C",'Mapa final'!#REF!),"")</f>
        <v>#REF!</v>
      </c>
      <c r="T44" s="122" t="e">
        <f>IF(AND('Mapa final'!#REF!="Baja",'Mapa final'!#REF!="Menor"),CONCATENATE("R9C",'Mapa final'!#REF!),"")</f>
        <v>#REF!</v>
      </c>
      <c r="U44" s="123" t="e">
        <f>IF(AND('Mapa final'!#REF!="Baja",'Mapa final'!#REF!="Menor"),CONCATENATE("R9C",'Mapa final'!#REF!),"")</f>
        <v>#REF!</v>
      </c>
      <c r="V44" s="121" t="e">
        <f>IF(AND('Mapa final'!#REF!="Baja",'Mapa final'!#REF!="Moderado"),CONCATENATE("R9C",'Mapa final'!#REF!),"")</f>
        <v>#REF!</v>
      </c>
      <c r="W44" s="122" t="e">
        <f>IF(AND('Mapa final'!#REF!="Baja",'Mapa final'!#REF!="Moderado"),CONCATENATE("R9C",'Mapa final'!#REF!),"")</f>
        <v>#REF!</v>
      </c>
      <c r="X44" s="122" t="e">
        <f>IF(AND('Mapa final'!#REF!="Baja",'Mapa final'!#REF!="Moderado"),CONCATENATE("R9C",'Mapa final'!#REF!),"")</f>
        <v>#REF!</v>
      </c>
      <c r="Y44" s="122" t="e">
        <f>IF(AND('Mapa final'!#REF!="Baja",'Mapa final'!#REF!="Moderado"),CONCATENATE("R9C",'Mapa final'!#REF!),"")</f>
        <v>#REF!</v>
      </c>
      <c r="Z44" s="122" t="e">
        <f>IF(AND('Mapa final'!#REF!="Baja",'Mapa final'!#REF!="Moderado"),CONCATENATE("R9C",'Mapa final'!#REF!),"")</f>
        <v>#REF!</v>
      </c>
      <c r="AA44" s="123" t="e">
        <f>IF(AND('Mapa final'!#REF!="Baja",'Mapa final'!#REF!="Moderado"),CONCATENATE("R9C",'Mapa final'!#REF!),"")</f>
        <v>#REF!</v>
      </c>
      <c r="AB44" s="111" t="e">
        <f>IF(AND('Mapa final'!#REF!="Baja",'Mapa final'!#REF!="Mayor"),CONCATENATE("R9C",'Mapa final'!#REF!),"")</f>
        <v>#REF!</v>
      </c>
      <c r="AC44" s="112" t="e">
        <f>IF(AND('Mapa final'!#REF!="Baja",'Mapa final'!#REF!="Mayor"),CONCATENATE("R9C",'Mapa final'!#REF!),"")</f>
        <v>#REF!</v>
      </c>
      <c r="AD44" s="112" t="e">
        <f>IF(AND('Mapa final'!#REF!="Baja",'Mapa final'!#REF!="Mayor"),CONCATENATE("R9C",'Mapa final'!#REF!),"")</f>
        <v>#REF!</v>
      </c>
      <c r="AE44" s="112" t="e">
        <f>IF(AND('Mapa final'!#REF!="Baja",'Mapa final'!#REF!="Mayor"),CONCATENATE("R9C",'Mapa final'!#REF!),"")</f>
        <v>#REF!</v>
      </c>
      <c r="AF44" s="112" t="e">
        <f>IF(AND('Mapa final'!#REF!="Baja",'Mapa final'!#REF!="Mayor"),CONCATENATE("R9C",'Mapa final'!#REF!),"")</f>
        <v>#REF!</v>
      </c>
      <c r="AG44" s="113" t="e">
        <f>IF(AND('Mapa final'!#REF!="Baja",'Mapa final'!#REF!="Mayor"),CONCATENATE("R9C",'Mapa final'!#REF!),"")</f>
        <v>#REF!</v>
      </c>
      <c r="AH44" s="140" t="e">
        <f>IF(AND('Mapa final'!#REF!="Baja",'Mapa final'!#REF!="Catastrófico"),CONCATENATE("R9C",'Mapa final'!#REF!),"")</f>
        <v>#REF!</v>
      </c>
      <c r="AI44" s="141" t="e">
        <f>IF(AND('Mapa final'!#REF!="Baja",'Mapa final'!#REF!="Catastrófico"),CONCATENATE("R9C",'Mapa final'!#REF!),"")</f>
        <v>#REF!</v>
      </c>
      <c r="AJ44" s="141" t="e">
        <f>IF(AND('Mapa final'!#REF!="Baja",'Mapa final'!#REF!="Catastrófico"),CONCATENATE("R9C",'Mapa final'!#REF!),"")</f>
        <v>#REF!</v>
      </c>
      <c r="AK44" s="141" t="e">
        <f>IF(AND('Mapa final'!#REF!="Baja",'Mapa final'!#REF!="Catastrófico"),CONCATENATE("R9C",'Mapa final'!#REF!),"")</f>
        <v>#REF!</v>
      </c>
      <c r="AL44" s="141" t="e">
        <f>IF(AND('Mapa final'!#REF!="Baja",'Mapa final'!#REF!="Catastrófico"),CONCATENATE("R9C",'Mapa final'!#REF!),"")</f>
        <v>#REF!</v>
      </c>
      <c r="AM44" s="142" t="e">
        <f>IF(AND('Mapa final'!#REF!="Baja",'Mapa final'!#REF!="Catastrófico"),CONCATENATE("R9C",'Mapa final'!#REF!),"")</f>
        <v>#REF!</v>
      </c>
      <c r="AN44" s="64"/>
      <c r="AO44" s="149"/>
      <c r="AT44" s="150"/>
    </row>
    <row r="45" ht="15.75" customHeight="1" spans="2:46">
      <c r="B45" s="63"/>
      <c r="D45" s="100"/>
      <c r="E45" s="104"/>
      <c r="F45" s="105"/>
      <c r="G45" s="105"/>
      <c r="H45" s="105"/>
      <c r="I45" s="105"/>
      <c r="J45" s="133" t="e">
        <f>IF(AND('Mapa final'!#REF!="Baja",'Mapa final'!#REF!="Leve"),CONCATENATE("R10C",'Mapa final'!#REF!),"")</f>
        <v>#REF!</v>
      </c>
      <c r="K45" s="134" t="e">
        <f>IF(AND('Mapa final'!#REF!="Baja",'Mapa final'!#REF!="Leve"),CONCATENATE("R10C",'Mapa final'!#REF!),"")</f>
        <v>#REF!</v>
      </c>
      <c r="L45" s="134" t="e">
        <f>IF(AND('Mapa final'!#REF!="Baja",'Mapa final'!#REF!="Leve"),CONCATENATE("R10C",'Mapa final'!#REF!),"")</f>
        <v>#REF!</v>
      </c>
      <c r="M45" s="134" t="e">
        <f>IF(AND('Mapa final'!#REF!="Baja",'Mapa final'!#REF!="Leve"),CONCATENATE("R10C",'Mapa final'!#REF!),"")</f>
        <v>#REF!</v>
      </c>
      <c r="N45" s="134" t="e">
        <f>IF(AND('Mapa final'!#REF!="Baja",'Mapa final'!#REF!="Leve"),CONCATENATE("R10C",'Mapa final'!#REF!),"")</f>
        <v>#REF!</v>
      </c>
      <c r="O45" s="135" t="e">
        <f>IF(AND('Mapa final'!#REF!="Baja",'Mapa final'!#REF!="Leve"),CONCATENATE("R10C",'Mapa final'!#REF!),"")</f>
        <v>#REF!</v>
      </c>
      <c r="P45" s="121" t="e">
        <f>IF(AND('Mapa final'!#REF!="Baja",'Mapa final'!#REF!="Menor"),CONCATENATE("R10C",'Mapa final'!#REF!),"")</f>
        <v>#REF!</v>
      </c>
      <c r="Q45" s="122" t="e">
        <f>IF(AND('Mapa final'!#REF!="Baja",'Mapa final'!#REF!="Menor"),CONCATENATE("R10C",'Mapa final'!#REF!),"")</f>
        <v>#REF!</v>
      </c>
      <c r="R45" s="122" t="e">
        <f>IF(AND('Mapa final'!#REF!="Baja",'Mapa final'!#REF!="Menor"),CONCATENATE("R10C",'Mapa final'!#REF!),"")</f>
        <v>#REF!</v>
      </c>
      <c r="S45" s="122" t="e">
        <f>IF(AND('Mapa final'!#REF!="Baja",'Mapa final'!#REF!="Menor"),CONCATENATE("R10C",'Mapa final'!#REF!),"")</f>
        <v>#REF!</v>
      </c>
      <c r="T45" s="122" t="e">
        <f>IF(AND('Mapa final'!#REF!="Baja",'Mapa final'!#REF!="Menor"),CONCATENATE("R10C",'Mapa final'!#REF!),"")</f>
        <v>#REF!</v>
      </c>
      <c r="U45" s="123" t="e">
        <f>IF(AND('Mapa final'!#REF!="Baja",'Mapa final'!#REF!="Menor"),CONCATENATE("R10C",'Mapa final'!#REF!),"")</f>
        <v>#REF!</v>
      </c>
      <c r="V45" s="124" t="e">
        <f>IF(AND('Mapa final'!#REF!="Baja",'Mapa final'!#REF!="Moderado"),CONCATENATE("R10C",'Mapa final'!#REF!),"")</f>
        <v>#REF!</v>
      </c>
      <c r="W45" s="125" t="e">
        <f>IF(AND('Mapa final'!#REF!="Baja",'Mapa final'!#REF!="Moderado"),CONCATENATE("R10C",'Mapa final'!#REF!),"")</f>
        <v>#REF!</v>
      </c>
      <c r="X45" s="125" t="e">
        <f>IF(AND('Mapa final'!#REF!="Baja",'Mapa final'!#REF!="Moderado"),CONCATENATE("R10C",'Mapa final'!#REF!),"")</f>
        <v>#REF!</v>
      </c>
      <c r="Y45" s="125" t="e">
        <f>IF(AND('Mapa final'!#REF!="Baja",'Mapa final'!#REF!="Moderado"),CONCATENATE("R10C",'Mapa final'!#REF!),"")</f>
        <v>#REF!</v>
      </c>
      <c r="Z45" s="125" t="e">
        <f>IF(AND('Mapa final'!#REF!="Baja",'Mapa final'!#REF!="Moderado"),CONCATENATE("R10C",'Mapa final'!#REF!),"")</f>
        <v>#REF!</v>
      </c>
      <c r="AA45" s="126" t="e">
        <f>IF(AND('Mapa final'!#REF!="Baja",'Mapa final'!#REF!="Moderado"),CONCATENATE("R10C",'Mapa final'!#REF!),"")</f>
        <v>#REF!</v>
      </c>
      <c r="AB45" s="115" t="e">
        <f>IF(AND('Mapa final'!#REF!="Baja",'Mapa final'!#REF!="Mayor"),CONCATENATE("R10C",'Mapa final'!#REF!),"")</f>
        <v>#REF!</v>
      </c>
      <c r="AC45" s="116" t="e">
        <f>IF(AND('Mapa final'!#REF!="Baja",'Mapa final'!#REF!="Mayor"),CONCATENATE("R10C",'Mapa final'!#REF!),"")</f>
        <v>#REF!</v>
      </c>
      <c r="AD45" s="116" t="e">
        <f>IF(AND('Mapa final'!#REF!="Baja",'Mapa final'!#REF!="Mayor"),CONCATENATE("R10C",'Mapa final'!#REF!),"")</f>
        <v>#REF!</v>
      </c>
      <c r="AE45" s="116" t="e">
        <f>IF(AND('Mapa final'!#REF!="Baja",'Mapa final'!#REF!="Mayor"),CONCATENATE("R10C",'Mapa final'!#REF!),"")</f>
        <v>#REF!</v>
      </c>
      <c r="AF45" s="116" t="e">
        <f>IF(AND('Mapa final'!#REF!="Baja",'Mapa final'!#REF!="Mayor"),CONCATENATE("R10C",'Mapa final'!#REF!),"")</f>
        <v>#REF!</v>
      </c>
      <c r="AG45" s="117" t="e">
        <f>IF(AND('Mapa final'!#REF!="Baja",'Mapa final'!#REF!="Mayor"),CONCATENATE("R10C",'Mapa final'!#REF!),"")</f>
        <v>#REF!</v>
      </c>
      <c r="AH45" s="143" t="e">
        <f>IF(AND('Mapa final'!#REF!="Baja",'Mapa final'!#REF!="Catastrófico"),CONCATENATE("R10C",'Mapa final'!#REF!),"")</f>
        <v>#REF!</v>
      </c>
      <c r="AI45" s="144" t="e">
        <f>IF(AND('Mapa final'!#REF!="Baja",'Mapa final'!#REF!="Catastrófico"),CONCATENATE("R10C",'Mapa final'!#REF!),"")</f>
        <v>#REF!</v>
      </c>
      <c r="AJ45" s="144" t="e">
        <f>IF(AND('Mapa final'!#REF!="Baja",'Mapa final'!#REF!="Catastrófico"),CONCATENATE("R10C",'Mapa final'!#REF!),"")</f>
        <v>#REF!</v>
      </c>
      <c r="AK45" s="144" t="e">
        <f>IF(AND('Mapa final'!#REF!="Baja",'Mapa final'!#REF!="Catastrófico"),CONCATENATE("R10C",'Mapa final'!#REF!),"")</f>
        <v>#REF!</v>
      </c>
      <c r="AL45" s="144" t="e">
        <f>IF(AND('Mapa final'!#REF!="Baja",'Mapa final'!#REF!="Catastrófico"),CONCATENATE("R10C",'Mapa final'!#REF!),"")</f>
        <v>#REF!</v>
      </c>
      <c r="AM45" s="145" t="e">
        <f>IF(AND('Mapa final'!#REF!="Baja",'Mapa final'!#REF!="Catastrófico"),CONCATENATE("R10C",'Mapa final'!#REF!),"")</f>
        <v>#REF!</v>
      </c>
      <c r="AN45" s="64"/>
      <c r="AO45" s="151"/>
      <c r="AP45" s="152"/>
      <c r="AQ45" s="152"/>
      <c r="AR45" s="152"/>
      <c r="AS45" s="152"/>
      <c r="AT45" s="153"/>
    </row>
    <row r="46" ht="46.5" customHeight="1" spans="2:46">
      <c r="B46" s="63"/>
      <c r="D46" s="100"/>
      <c r="E46" s="101" t="s">
        <v>139</v>
      </c>
      <c r="F46" s="102"/>
      <c r="G46" s="102"/>
      <c r="H46" s="102"/>
      <c r="I46" s="107"/>
      <c r="J46" s="127" t="str">
        <f>IF(AND('Mapa final'!$Y$16="Muy Baja",'Mapa final'!$AA$16="Leve"),CONCATENATE("R1C",'Mapa final'!$O$16),"")</f>
        <v/>
      </c>
      <c r="K46" s="128" t="str">
        <f>IF(AND('Mapa final'!$Y$17="Muy Baja",'Mapa final'!$AA$17="Leve"),CONCATENATE("R1C",'Mapa final'!$O$17),"")</f>
        <v>R1C2</v>
      </c>
      <c r="L46" s="128" t="str">
        <f>IF(AND('Mapa final'!$Y$18="Muy Baja",'Mapa final'!$AA$18="Leve"),CONCATENATE("R1C",'Mapa final'!$O$18),"")</f>
        <v/>
      </c>
      <c r="M46" s="128" t="e">
        <f>IF(AND('Mapa final'!#REF!="Muy Baja",'Mapa final'!#REF!="Leve"),CONCATENATE("R1C",'Mapa final'!#REF!),"")</f>
        <v>#REF!</v>
      </c>
      <c r="N46" s="128" t="e">
        <f>IF(AND('Mapa final'!#REF!="Muy Baja",'Mapa final'!#REF!="Leve"),CONCATENATE("R1C",'Mapa final'!#REF!),"")</f>
        <v>#REF!</v>
      </c>
      <c r="O46" s="129" t="e">
        <f>IF(AND('Mapa final'!#REF!="Muy Baja",'Mapa final'!#REF!="Leve"),CONCATENATE("R1C",'Mapa final'!#REF!),"")</f>
        <v>#REF!</v>
      </c>
      <c r="P46" s="127" t="str">
        <f>IF(AND('Mapa final'!$Y$16="Muy Baja",'Mapa final'!$AA$16="Menor"),CONCATENATE("R1C",'Mapa final'!$O$16),"")</f>
        <v/>
      </c>
      <c r="Q46" s="128" t="str">
        <f>IF(AND('Mapa final'!$Y$17="Muy Baja",'Mapa final'!$AA$17="Menor"),CONCATENATE("R1C",'Mapa final'!$O$17),"")</f>
        <v/>
      </c>
      <c r="R46" s="128" t="str">
        <f>IF(AND('Mapa final'!$Y$18="Muy Baja",'Mapa final'!$AA$18="Menor"),CONCATENATE("R1C",'Mapa final'!$O$18),"")</f>
        <v/>
      </c>
      <c r="S46" s="128" t="e">
        <f>IF(AND('Mapa final'!#REF!="Muy Baja",'Mapa final'!#REF!="Menor"),CONCATENATE("R1C",'Mapa final'!#REF!),"")</f>
        <v>#REF!</v>
      </c>
      <c r="T46" s="128" t="e">
        <f>IF(AND('Mapa final'!#REF!="Muy Baja",'Mapa final'!#REF!="Menor"),CONCATENATE("R1C",'Mapa final'!#REF!),"")</f>
        <v>#REF!</v>
      </c>
      <c r="U46" s="129" t="e">
        <f>IF(AND('Mapa final'!#REF!="Muy Baja",'Mapa final'!#REF!="Menor"),CONCATENATE("R1C",'Mapa final'!#REF!),"")</f>
        <v>#REF!</v>
      </c>
      <c r="V46" s="118" t="str">
        <f>IF(AND('Mapa final'!$Y$16="Muy Baja",'Mapa final'!$AA$16="Moderado"),CONCATENATE("R1C",'Mapa final'!$O$16),"")</f>
        <v/>
      </c>
      <c r="W46" s="136" t="str">
        <f>IF(AND('Mapa final'!$Y$17="Muy Baja",'Mapa final'!$AA$17="Moderado"),CONCATENATE("R1C",'Mapa final'!$O$17),"")</f>
        <v/>
      </c>
      <c r="X46" s="119" t="str">
        <f>IF(AND('Mapa final'!$Y$18="Muy Baja",'Mapa final'!$AA$18="Moderado"),CONCATENATE("R1C",'Mapa final'!$O$18),"")</f>
        <v/>
      </c>
      <c r="Y46" s="119" t="e">
        <f>IF(AND('Mapa final'!#REF!="Muy Baja",'Mapa final'!#REF!="Moderado"),CONCATENATE("R1C",'Mapa final'!#REF!),"")</f>
        <v>#REF!</v>
      </c>
      <c r="Z46" s="119" t="e">
        <f>IF(AND('Mapa final'!#REF!="Muy Baja",'Mapa final'!#REF!="Moderado"),CONCATENATE("R1C",'Mapa final'!#REF!),"")</f>
        <v>#REF!</v>
      </c>
      <c r="AA46" s="120" t="e">
        <f>IF(AND('Mapa final'!#REF!="Muy Baja",'Mapa final'!#REF!="Moderado"),CONCATENATE("R1C",'Mapa final'!#REF!),"")</f>
        <v>#REF!</v>
      </c>
      <c r="AB46" s="108" t="str">
        <f>IF(AND('Mapa final'!$Y$16="Muy Baja",'Mapa final'!$AA$16="Mayor"),CONCATENATE("R1C",'Mapa final'!$O$16),"")</f>
        <v/>
      </c>
      <c r="AC46" s="109" t="str">
        <f>IF(AND('Mapa final'!$Y$17="Muy Baja",'Mapa final'!$AA$17="Mayor"),CONCATENATE("R1C",'Mapa final'!$O$17),"")</f>
        <v/>
      </c>
      <c r="AD46" s="109" t="str">
        <f>IF(AND('Mapa final'!$Y$18="Muy Baja",'Mapa final'!$AA$18="Mayor"),CONCATENATE("R1C",'Mapa final'!$O$18),"")</f>
        <v/>
      </c>
      <c r="AE46" s="109" t="e">
        <f>IF(AND('Mapa final'!#REF!="Muy Baja",'Mapa final'!#REF!="Mayor"),CONCATENATE("R1C",'Mapa final'!#REF!),"")</f>
        <v>#REF!</v>
      </c>
      <c r="AF46" s="109" t="e">
        <f>IF(AND('Mapa final'!#REF!="Muy Baja",'Mapa final'!#REF!="Mayor"),CONCATENATE("R1C",'Mapa final'!#REF!),"")</f>
        <v>#REF!</v>
      </c>
      <c r="AG46" s="110" t="e">
        <f>IF(AND('Mapa final'!#REF!="Muy Baja",'Mapa final'!#REF!="Mayor"),CONCATENATE("R1C",'Mapa final'!#REF!),"")</f>
        <v>#REF!</v>
      </c>
      <c r="AH46" s="137" t="str">
        <f>IF(AND('Mapa final'!$Y$16="Muy Baja",'Mapa final'!$AA$16="Catastrófico"),CONCATENATE("R1C",'Mapa final'!$O$16),"")</f>
        <v/>
      </c>
      <c r="AI46" s="138" t="str">
        <f>IF(AND('Mapa final'!$Y$17="Muy Baja",'Mapa final'!$AA$17="Catastrófico"),CONCATENATE("R1C",'Mapa final'!$O$17),"")</f>
        <v/>
      </c>
      <c r="AJ46" s="138" t="str">
        <f>IF(AND('Mapa final'!$Y$18="Muy Baja",'Mapa final'!$AA$18="Catastrófico"),CONCATENATE("R1C",'Mapa final'!$O$18),"")</f>
        <v/>
      </c>
      <c r="AK46" s="138" t="e">
        <f>IF(AND('Mapa final'!#REF!="Muy Baja",'Mapa final'!#REF!="Catastrófico"),CONCATENATE("R1C",'Mapa final'!#REF!),"")</f>
        <v>#REF!</v>
      </c>
      <c r="AL46" s="138" t="e">
        <f>IF(AND('Mapa final'!#REF!="Muy Baja",'Mapa final'!#REF!="Catastrófico"),CONCATENATE("R1C",'Mapa final'!#REF!),"")</f>
        <v>#REF!</v>
      </c>
      <c r="AM46" s="139" t="e">
        <f>IF(AND('Mapa final'!#REF!="Muy Baja",'Mapa final'!#REF!="Catastrófico"),CONCATENATE("R1C",'Mapa final'!#REF!),"")</f>
        <v>#REF!</v>
      </c>
      <c r="AN46" s="64"/>
      <c r="AO46" s="64"/>
      <c r="AP46" s="64"/>
      <c r="AQ46" s="64"/>
      <c r="AR46" s="64"/>
      <c r="AS46" s="64"/>
      <c r="AT46" s="64"/>
    </row>
    <row r="47" ht="46.5" customHeight="1" spans="2:46">
      <c r="B47" s="63"/>
      <c r="D47" s="100"/>
      <c r="E47" s="103"/>
      <c r="I47" s="100"/>
      <c r="J47" s="130" t="str">
        <f>IF(AND('Mapa final'!$Y$21="Muy Baja",'Mapa final'!$AA$21="Leve"),CONCATENATE("R2C",'Mapa final'!$O$21),"")</f>
        <v/>
      </c>
      <c r="K47" s="131" t="e">
        <f>IF(AND('Mapa final'!#REF!="Muy Baja",'Mapa final'!#REF!="Leve"),CONCATENATE("R2C",'Mapa final'!#REF!),"")</f>
        <v>#REF!</v>
      </c>
      <c r="L47" s="131" t="e">
        <f>IF(AND('Mapa final'!#REF!="Muy Baja",'Mapa final'!#REF!="Leve"),CONCATENATE("R2C",'Mapa final'!#REF!),"")</f>
        <v>#REF!</v>
      </c>
      <c r="M47" s="131" t="e">
        <f>IF(AND('Mapa final'!#REF!="Muy Baja",'Mapa final'!#REF!="Leve"),CONCATENATE("R2C",'Mapa final'!#REF!),"")</f>
        <v>#REF!</v>
      </c>
      <c r="N47" s="131" t="str">
        <f>IF(AND('Mapa final'!$Y$22="Muy Baja",'Mapa final'!$AA$22="Leve"),CONCATENATE("R2C",'Mapa final'!$O$22),"")</f>
        <v/>
      </c>
      <c r="O47" s="132" t="str">
        <f>IF(AND('Mapa final'!$Y$23="Muy Baja",'Mapa final'!$AA$23="Leve"),CONCATENATE("R2C",'Mapa final'!$O$23),"")</f>
        <v/>
      </c>
      <c r="P47" s="130" t="str">
        <f>IF(AND('Mapa final'!$Y$21="Muy Baja",'Mapa final'!$AA$21="Menor"),CONCATENATE("R2C",'Mapa final'!$O$21),"")</f>
        <v/>
      </c>
      <c r="Q47" s="131" t="e">
        <f>IF(AND('Mapa final'!#REF!="Muy Baja",'Mapa final'!#REF!="Menor"),CONCATENATE("R2C",'Mapa final'!#REF!),"")</f>
        <v>#REF!</v>
      </c>
      <c r="R47" s="131" t="e">
        <f>IF(AND('Mapa final'!#REF!="Muy Baja",'Mapa final'!#REF!="Menor"),CONCATENATE("R2C",'Mapa final'!#REF!),"")</f>
        <v>#REF!</v>
      </c>
      <c r="S47" s="131" t="e">
        <f>IF(AND('Mapa final'!#REF!="Muy Baja",'Mapa final'!#REF!="Menor"),CONCATENATE("R2C",'Mapa final'!#REF!),"")</f>
        <v>#REF!</v>
      </c>
      <c r="T47" s="131" t="str">
        <f>IF(AND('Mapa final'!$Y$22="Muy Baja",'Mapa final'!$AA$22="Menor"),CONCATENATE("R2C",'Mapa final'!$O$22),"")</f>
        <v/>
      </c>
      <c r="U47" s="132" t="str">
        <f>IF(AND('Mapa final'!$Y$23="Muy Baja",'Mapa final'!$AA$23="Menor"),CONCATENATE("R2C",'Mapa final'!$O$23),"")</f>
        <v/>
      </c>
      <c r="V47" s="121" t="str">
        <f>IF(AND('Mapa final'!$Y$21="Muy Baja",'Mapa final'!$AA$21="Moderado"),CONCATENATE("R2C",'Mapa final'!$O$21),"")</f>
        <v/>
      </c>
      <c r="W47" s="122" t="e">
        <f>IF(AND('Mapa final'!#REF!="Muy Baja",'Mapa final'!#REF!="Moderado"),CONCATENATE("R2C",'Mapa final'!#REF!),"")</f>
        <v>#REF!</v>
      </c>
      <c r="X47" s="122" t="e">
        <f>IF(AND('Mapa final'!#REF!="Muy Baja",'Mapa final'!#REF!="Moderado"),CONCATENATE("R2C",'Mapa final'!#REF!),"")</f>
        <v>#REF!</v>
      </c>
      <c r="Y47" s="122" t="e">
        <f>IF(AND('Mapa final'!#REF!="Muy Baja",'Mapa final'!#REF!="Moderado"),CONCATENATE("R2C",'Mapa final'!#REF!),"")</f>
        <v>#REF!</v>
      </c>
      <c r="Z47" s="122" t="str">
        <f>IF(AND('Mapa final'!$Y$22="Muy Baja",'Mapa final'!$AA$22="Moderado"),CONCATENATE("R2C",'Mapa final'!$O$22),"")</f>
        <v/>
      </c>
      <c r="AA47" s="123" t="str">
        <f>IF(AND('Mapa final'!$Y$23="Muy Baja",'Mapa final'!$AA$23="Moderado"),CONCATENATE("R2C",'Mapa final'!$O$23),"")</f>
        <v/>
      </c>
      <c r="AB47" s="111" t="str">
        <f>IF(AND('Mapa final'!$Y$21="Muy Baja",'Mapa final'!$AA$21="Mayor"),CONCATENATE("R2C",'Mapa final'!$O$21),"")</f>
        <v/>
      </c>
      <c r="AC47" s="112" t="e">
        <f>IF(AND('Mapa final'!#REF!="Muy Baja",'Mapa final'!#REF!="Mayor"),CONCATENATE("R2C",'Mapa final'!#REF!),"")</f>
        <v>#REF!</v>
      </c>
      <c r="AD47" s="112" t="e">
        <f>IF(AND('Mapa final'!#REF!="Muy Baja",'Mapa final'!#REF!="Mayor"),CONCATENATE("R2C",'Mapa final'!#REF!),"")</f>
        <v>#REF!</v>
      </c>
      <c r="AE47" s="112" t="e">
        <f>IF(AND('Mapa final'!#REF!="Muy Baja",'Mapa final'!#REF!="Mayor"),CONCATENATE("R2C",'Mapa final'!#REF!),"")</f>
        <v>#REF!</v>
      </c>
      <c r="AF47" s="112" t="str">
        <f>IF(AND('Mapa final'!$Y$22="Muy Baja",'Mapa final'!$AA$22="Mayor"),CONCATENATE("R2C",'Mapa final'!$O$22),"")</f>
        <v/>
      </c>
      <c r="AG47" s="113" t="str">
        <f>IF(AND('Mapa final'!$Y$23="Muy Baja",'Mapa final'!$AA$23="Mayor"),CONCATENATE("R2C",'Mapa final'!$O$23),"")</f>
        <v/>
      </c>
      <c r="AH47" s="140" t="str">
        <f>IF(AND('Mapa final'!$Y$21="Muy Baja",'Mapa final'!$AA$21="Catastrófico"),CONCATENATE("R2C",'Mapa final'!$O$21),"")</f>
        <v/>
      </c>
      <c r="AI47" s="141" t="e">
        <f>IF(AND('Mapa final'!#REF!="Muy Baja",'Mapa final'!#REF!="Catastrófico"),CONCATENATE("R2C",'Mapa final'!#REF!),"")</f>
        <v>#REF!</v>
      </c>
      <c r="AJ47" s="141" t="e">
        <f>IF(AND('Mapa final'!#REF!="Muy Baja",'Mapa final'!#REF!="Catastrófico"),CONCATENATE("R2C",'Mapa final'!#REF!),"")</f>
        <v>#REF!</v>
      </c>
      <c r="AK47" s="141" t="e">
        <f>IF(AND('Mapa final'!#REF!="Muy Baja",'Mapa final'!#REF!="Catastrófico"),CONCATENATE("R2C",'Mapa final'!#REF!),"")</f>
        <v>#REF!</v>
      </c>
      <c r="AL47" s="141" t="str">
        <f>IF(AND('Mapa final'!$Y$22="Muy Baja",'Mapa final'!$AA$22="Catastrófico"),CONCATENATE("R2C",'Mapa final'!$O$22),"")</f>
        <v/>
      </c>
      <c r="AM47" s="142" t="str">
        <f>IF(AND('Mapa final'!$Y$23="Muy Baja",'Mapa final'!$AA$23="Catastrófico"),CONCATENATE("R2C",'Mapa final'!$O$23),"")</f>
        <v/>
      </c>
      <c r="AN47" s="64"/>
      <c r="AO47" s="64"/>
      <c r="AP47" s="64"/>
      <c r="AQ47" s="64"/>
      <c r="AR47" s="64"/>
      <c r="AS47" s="64"/>
      <c r="AT47" s="64"/>
    </row>
    <row r="48" customHeight="1" spans="2:46">
      <c r="B48" s="63"/>
      <c r="D48" s="100"/>
      <c r="E48" s="103"/>
      <c r="I48" s="100"/>
      <c r="J48" s="130" t="str">
        <f>IF(AND('Mapa final'!$Y$26="Muy Baja",'Mapa final'!$AA$26="Leve"),CONCATENATE("R3C",'Mapa final'!$O$26),"")</f>
        <v/>
      </c>
      <c r="K48" s="131" t="str">
        <f>IF(AND('Mapa final'!$Y$27="Muy Baja",'Mapa final'!$AA$27="Leve"),CONCATENATE("R3C",'Mapa final'!$O$27),"")</f>
        <v/>
      </c>
      <c r="L48" s="131" t="str">
        <f>IF(AND('Mapa final'!$Y$28="Muy Baja",'Mapa final'!$AA$28="Leve"),CONCATENATE("R3C",'Mapa final'!$O$28),"")</f>
        <v/>
      </c>
      <c r="M48" s="131" t="e">
        <f>IF(AND('Mapa final'!#REF!="Muy Baja",'Mapa final'!#REF!="Leve"),CONCATENATE("R3C",'Mapa final'!#REF!),"")</f>
        <v>#REF!</v>
      </c>
      <c r="N48" s="131" t="e">
        <f>IF(AND('Mapa final'!#REF!="Muy Baja",'Mapa final'!#REF!="Leve"),CONCATENATE("R3C",'Mapa final'!#REF!),"")</f>
        <v>#REF!</v>
      </c>
      <c r="O48" s="132" t="e">
        <f>IF(AND('Mapa final'!#REF!="Muy Baja",'Mapa final'!#REF!="Leve"),CONCATENATE("R3C",'Mapa final'!#REF!),"")</f>
        <v>#REF!</v>
      </c>
      <c r="P48" s="130" t="str">
        <f>IF(AND('Mapa final'!$Y$26="Muy Baja",'Mapa final'!$AA$26="Menor"),CONCATENATE("R3C",'Mapa final'!$O$26),"")</f>
        <v/>
      </c>
      <c r="Q48" s="131" t="str">
        <f>IF(AND('Mapa final'!$Y$27="Muy Baja",'Mapa final'!$AA$27="Menor"),CONCATENATE("R3C",'Mapa final'!$O$27),"")</f>
        <v/>
      </c>
      <c r="R48" s="131" t="str">
        <f>IF(AND('Mapa final'!$Y$28="Muy Baja",'Mapa final'!$AA$28="Menor"),CONCATENATE("R3C",'Mapa final'!$O$28),"")</f>
        <v/>
      </c>
      <c r="S48" s="131" t="e">
        <f>IF(AND('Mapa final'!#REF!="Muy Baja",'Mapa final'!#REF!="Menor"),CONCATENATE("R3C",'Mapa final'!#REF!),"")</f>
        <v>#REF!</v>
      </c>
      <c r="T48" s="131" t="e">
        <f>IF(AND('Mapa final'!#REF!="Muy Baja",'Mapa final'!#REF!="Menor"),CONCATENATE("R3C",'Mapa final'!#REF!),"")</f>
        <v>#REF!</v>
      </c>
      <c r="U48" s="132" t="e">
        <f>IF(AND('Mapa final'!#REF!="Muy Baja",'Mapa final'!#REF!="Menor"),CONCATENATE("R3C",'Mapa final'!#REF!),"")</f>
        <v>#REF!</v>
      </c>
      <c r="V48" s="121" t="str">
        <f>IF(AND('Mapa final'!$Y$26="Muy Baja",'Mapa final'!$AA$26="Moderado"),CONCATENATE("R3C",'Mapa final'!$O$26),"")</f>
        <v/>
      </c>
      <c r="W48" s="122" t="str">
        <f>IF(AND('Mapa final'!$Y$27="Muy Baja",'Mapa final'!$AA$27="Moderado"),CONCATENATE("R3C",'Mapa final'!$O$27),"")</f>
        <v/>
      </c>
      <c r="X48" s="122" t="str">
        <f>IF(AND('Mapa final'!$Y$28="Muy Baja",'Mapa final'!$AA$28="Moderado"),CONCATENATE("R3C",'Mapa final'!$O$28),"")</f>
        <v/>
      </c>
      <c r="Y48" s="122" t="e">
        <f>IF(AND('Mapa final'!#REF!="Muy Baja",'Mapa final'!#REF!="Moderado"),CONCATENATE("R3C",'Mapa final'!#REF!),"")</f>
        <v>#REF!</v>
      </c>
      <c r="Z48" s="122" t="e">
        <f>IF(AND('Mapa final'!#REF!="Muy Baja",'Mapa final'!#REF!="Moderado"),CONCATENATE("R3C",'Mapa final'!#REF!),"")</f>
        <v>#REF!</v>
      </c>
      <c r="AA48" s="123" t="e">
        <f>IF(AND('Mapa final'!#REF!="Muy Baja",'Mapa final'!#REF!="Moderado"),CONCATENATE("R3C",'Mapa final'!#REF!),"")</f>
        <v>#REF!</v>
      </c>
      <c r="AB48" s="111" t="str">
        <f>IF(AND('Mapa final'!$Y$26="Muy Baja",'Mapa final'!$AA$26="Mayor"),CONCATENATE("R3C",'Mapa final'!$O$26),"")</f>
        <v/>
      </c>
      <c r="AC48" s="112" t="str">
        <f>IF(AND('Mapa final'!$Y$27="Muy Baja",'Mapa final'!$AA$27="Mayor"),CONCATENATE("R3C",'Mapa final'!$O$27),"")</f>
        <v/>
      </c>
      <c r="AD48" s="112" t="str">
        <f>IF(AND('Mapa final'!$Y$28="Muy Baja",'Mapa final'!$AA$28="Mayor"),CONCATENATE("R3C",'Mapa final'!$O$28),"")</f>
        <v/>
      </c>
      <c r="AE48" s="112" t="e">
        <f>IF(AND('Mapa final'!#REF!="Muy Baja",'Mapa final'!#REF!="Mayor"),CONCATENATE("R3C",'Mapa final'!#REF!),"")</f>
        <v>#REF!</v>
      </c>
      <c r="AF48" s="112" t="e">
        <f>IF(AND('Mapa final'!#REF!="Muy Baja",'Mapa final'!#REF!="Mayor"),CONCATENATE("R3C",'Mapa final'!#REF!),"")</f>
        <v>#REF!</v>
      </c>
      <c r="AG48" s="113" t="e">
        <f>IF(AND('Mapa final'!#REF!="Muy Baja",'Mapa final'!#REF!="Mayor"),CONCATENATE("R3C",'Mapa final'!#REF!),"")</f>
        <v>#REF!</v>
      </c>
      <c r="AH48" s="140" t="str">
        <f>IF(AND('Mapa final'!$Y$26="Muy Baja",'Mapa final'!$AA$26="Catastrófico"),CONCATENATE("R3C",'Mapa final'!$O$26),"")</f>
        <v/>
      </c>
      <c r="AI48" s="141" t="str">
        <f>IF(AND('Mapa final'!$Y$27="Muy Baja",'Mapa final'!$AA$27="Catastrófico"),CONCATENATE("R3C",'Mapa final'!$O$27),"")</f>
        <v/>
      </c>
      <c r="AJ48" s="141" t="str">
        <f>IF(AND('Mapa final'!$Y$28="Muy Baja",'Mapa final'!$AA$28="Catastrófico"),CONCATENATE("R3C",'Mapa final'!$O$28),"")</f>
        <v/>
      </c>
      <c r="AK48" s="141" t="e">
        <f>IF(AND('Mapa final'!#REF!="Muy Baja",'Mapa final'!#REF!="Catastrófico"),CONCATENATE("R3C",'Mapa final'!#REF!),"")</f>
        <v>#REF!</v>
      </c>
      <c r="AL48" s="141" t="e">
        <f>IF(AND('Mapa final'!#REF!="Muy Baja",'Mapa final'!#REF!="Catastrófico"),CONCATENATE("R3C",'Mapa final'!#REF!),"")</f>
        <v>#REF!</v>
      </c>
      <c r="AM48" s="142" t="e">
        <f>IF(AND('Mapa final'!#REF!="Muy Baja",'Mapa final'!#REF!="Catastrófico"),CONCATENATE("R3C",'Mapa final'!#REF!),"")</f>
        <v>#REF!</v>
      </c>
      <c r="AN48" s="64"/>
      <c r="AO48" s="64"/>
      <c r="AP48" s="64"/>
      <c r="AQ48" s="64"/>
      <c r="AR48" s="64"/>
      <c r="AS48" s="64"/>
      <c r="AT48" s="64"/>
    </row>
    <row r="49" customHeight="1" spans="2:39">
      <c r="B49" s="63"/>
      <c r="D49" s="100"/>
      <c r="E49" s="103"/>
      <c r="I49" s="100"/>
      <c r="J49" s="130" t="str">
        <f>IF(AND('Mapa final'!$Y$31="Muy Baja",'Mapa final'!$AA$31="Leve"),CONCATENATE("R4C",'Mapa final'!$O$31),"")</f>
        <v/>
      </c>
      <c r="K49" s="131" t="str">
        <f>IF(AND('Mapa final'!$Y$32="Muy Baja",'Mapa final'!$AA$32="Leve"),CONCATENATE("R4C",'Mapa final'!$O$32),"")</f>
        <v/>
      </c>
      <c r="L49" s="131" t="e">
        <f>IF(AND('Mapa final'!#REF!="Muy Baja",'Mapa final'!#REF!="Leve"),CONCATENATE("R4C",'Mapa final'!#REF!),"")</f>
        <v>#REF!</v>
      </c>
      <c r="M49" s="131" t="str">
        <f>IF(AND('Mapa final'!$Y$33="Muy Baja",'Mapa final'!$AA$33="Leve"),CONCATENATE("R4C",'Mapa final'!$O$33),"")</f>
        <v/>
      </c>
      <c r="N49" s="131" t="e">
        <f>IF(AND('Mapa final'!#REF!="Muy Baja",'Mapa final'!#REF!="Leve"),CONCATENATE("R4C",'Mapa final'!#REF!),"")</f>
        <v>#REF!</v>
      </c>
      <c r="O49" s="132" t="e">
        <f>IF(AND('Mapa final'!#REF!="Muy Baja",'Mapa final'!#REF!="Leve"),CONCATENATE("R4C",'Mapa final'!#REF!),"")</f>
        <v>#REF!</v>
      </c>
      <c r="P49" s="130" t="str">
        <f>IF(AND('Mapa final'!$Y$31="Muy Baja",'Mapa final'!$AA$31="Menor"),CONCATENATE("R4C",'Mapa final'!$O$31),"")</f>
        <v/>
      </c>
      <c r="Q49" s="131" t="str">
        <f>IF(AND('Mapa final'!$Y$32="Muy Baja",'Mapa final'!$AA$32="Menor"),CONCATENATE("R4C",'Mapa final'!$O$32),"")</f>
        <v/>
      </c>
      <c r="R49" s="131" t="e">
        <f>IF(AND('Mapa final'!#REF!="Muy Baja",'Mapa final'!#REF!="Menor"),CONCATENATE("R4C",'Mapa final'!#REF!),"")</f>
        <v>#REF!</v>
      </c>
      <c r="S49" s="131" t="str">
        <f>IF(AND('Mapa final'!$Y$33="Muy Baja",'Mapa final'!$AA$33="Menor"),CONCATENATE("R4C",'Mapa final'!$O$33),"")</f>
        <v/>
      </c>
      <c r="T49" s="131" t="e">
        <f>IF(AND('Mapa final'!#REF!="Muy Baja",'Mapa final'!#REF!="Menor"),CONCATENATE("R4C",'Mapa final'!#REF!),"")</f>
        <v>#REF!</v>
      </c>
      <c r="U49" s="132" t="e">
        <f>IF(AND('Mapa final'!#REF!="Muy Baja",'Mapa final'!#REF!="Menor"),CONCATENATE("R4C",'Mapa final'!#REF!),"")</f>
        <v>#REF!</v>
      </c>
      <c r="V49" s="121" t="str">
        <f>IF(AND('Mapa final'!$Y$31="Muy Baja",'Mapa final'!$AA$31="Moderado"),CONCATENATE("R4C",'Mapa final'!$O$31),"")</f>
        <v/>
      </c>
      <c r="W49" s="122" t="str">
        <f>IF(AND('Mapa final'!$Y$32="Muy Baja",'Mapa final'!$AA$32="Moderado"),CONCATENATE("R4C",'Mapa final'!$O$32),"")</f>
        <v/>
      </c>
      <c r="X49" s="122" t="e">
        <f>IF(AND('Mapa final'!#REF!="Muy Baja",'Mapa final'!#REF!="Moderado"),CONCATENATE("R4C",'Mapa final'!#REF!),"")</f>
        <v>#REF!</v>
      </c>
      <c r="Y49" s="122" t="str">
        <f>IF(AND('Mapa final'!$Y$33="Muy Baja",'Mapa final'!$AA$33="Moderado"),CONCATENATE("R4C",'Mapa final'!$O$33),"")</f>
        <v/>
      </c>
      <c r="Z49" s="122" t="e">
        <f>IF(AND('Mapa final'!#REF!="Muy Baja",'Mapa final'!#REF!="Moderado"),CONCATENATE("R4C",'Mapa final'!#REF!),"")</f>
        <v>#REF!</v>
      </c>
      <c r="AA49" s="123" t="e">
        <f>IF(AND('Mapa final'!#REF!="Muy Baja",'Mapa final'!#REF!="Moderado"),CONCATENATE("R4C",'Mapa final'!#REF!),"")</f>
        <v>#REF!</v>
      </c>
      <c r="AB49" s="111" t="str">
        <f>IF(AND('Mapa final'!$Y$31="Muy Baja",'Mapa final'!$AA$31="Mayor"),CONCATENATE("R4C",'Mapa final'!$O$31),"")</f>
        <v/>
      </c>
      <c r="AC49" s="112" t="str">
        <f>IF(AND('Mapa final'!$Y$32="Muy Baja",'Mapa final'!$AA$32="Mayor"),CONCATENATE("R4C",'Mapa final'!$O$32),"")</f>
        <v/>
      </c>
      <c r="AD49" s="112" t="e">
        <f>IF(AND('Mapa final'!#REF!="Muy Baja",'Mapa final'!#REF!="Mayor"),CONCATENATE("R4C",'Mapa final'!#REF!),"")</f>
        <v>#REF!</v>
      </c>
      <c r="AE49" s="112" t="str">
        <f>IF(AND('Mapa final'!$Y$33="Muy Baja",'Mapa final'!$AA$33="Mayor"),CONCATENATE("R4C",'Mapa final'!$O$33),"")</f>
        <v/>
      </c>
      <c r="AF49" s="112" t="e">
        <f>IF(AND('Mapa final'!#REF!="Muy Baja",'Mapa final'!#REF!="Mayor"),CONCATENATE("R4C",'Mapa final'!#REF!),"")</f>
        <v>#REF!</v>
      </c>
      <c r="AG49" s="113" t="e">
        <f>IF(AND('Mapa final'!#REF!="Muy Baja",'Mapa final'!#REF!="Mayor"),CONCATENATE("R4C",'Mapa final'!#REF!),"")</f>
        <v>#REF!</v>
      </c>
      <c r="AH49" s="140" t="str">
        <f>IF(AND('Mapa final'!$Y$31="Muy Baja",'Mapa final'!$AA$31="Catastrófico"),CONCATENATE("R4C",'Mapa final'!$O$31),"")</f>
        <v/>
      </c>
      <c r="AI49" s="141" t="str">
        <f>IF(AND('Mapa final'!$Y$32="Muy Baja",'Mapa final'!$AA$32="Catastrófico"),CONCATENATE("R4C",'Mapa final'!$O$32),"")</f>
        <v/>
      </c>
      <c r="AJ49" s="141" t="e">
        <f>IF(AND('Mapa final'!#REF!="Muy Baja",'Mapa final'!#REF!="Catastrófico"),CONCATENATE("R4C",'Mapa final'!#REF!),"")</f>
        <v>#REF!</v>
      </c>
      <c r="AK49" s="141" t="str">
        <f>IF(AND('Mapa final'!$Y$33="Muy Baja",'Mapa final'!$AA$33="Catastrófico"),CONCATENATE("R4C",'Mapa final'!$O$33),"")</f>
        <v/>
      </c>
      <c r="AL49" s="141" t="e">
        <f>IF(AND('Mapa final'!#REF!="Muy Baja",'Mapa final'!#REF!="Catastrófico"),CONCATENATE("R4C",'Mapa final'!#REF!),"")</f>
        <v>#REF!</v>
      </c>
      <c r="AM49" s="142" t="e">
        <f>IF(AND('Mapa final'!#REF!="Muy Baja",'Mapa final'!#REF!="Catastrófico"),CONCATENATE("R4C",'Mapa final'!#REF!),"")</f>
        <v>#REF!</v>
      </c>
    </row>
    <row r="50" customHeight="1" spans="2:39">
      <c r="B50" s="63"/>
      <c r="D50" s="100"/>
      <c r="E50" s="103"/>
      <c r="I50" s="100"/>
      <c r="J50" s="130" t="str">
        <f>IF(AND('Mapa final'!$Y$36="Muy Baja",'Mapa final'!$AA$36="Leve"),CONCATENATE("R5C",'Mapa final'!$O$36),"")</f>
        <v/>
      </c>
      <c r="K50" s="131" t="str">
        <f>IF(AND('Mapa final'!$Y$37="Muy Baja",'Mapa final'!$AA$37="Leve"),CONCATENATE("R5C",'Mapa final'!$O$37),"")</f>
        <v/>
      </c>
      <c r="L50" s="131" t="str">
        <f>IF(AND('Mapa final'!$Y$38="Muy Baja",'Mapa final'!$AA$38="Leve"),CONCATENATE("R5C",'Mapa final'!$O$38),"")</f>
        <v/>
      </c>
      <c r="M50" s="131" t="e">
        <f>IF(AND('Mapa final'!#REF!="Muy Baja",'Mapa final'!#REF!="Leve"),CONCATENATE("R5C",'Mapa final'!#REF!),"")</f>
        <v>#REF!</v>
      </c>
      <c r="N50" s="131" t="e">
        <f>IF(AND('Mapa final'!#REF!="Muy Baja",'Mapa final'!#REF!="Leve"),CONCATENATE("R5C",'Mapa final'!#REF!),"")</f>
        <v>#REF!</v>
      </c>
      <c r="O50" s="132" t="e">
        <f>IF(AND('Mapa final'!#REF!="Muy Baja",'Mapa final'!#REF!="Leve"),CONCATENATE("R5C",'Mapa final'!#REF!),"")</f>
        <v>#REF!</v>
      </c>
      <c r="P50" s="130" t="str">
        <f>IF(AND('Mapa final'!$Y$36="Muy Baja",'Mapa final'!$AA$36="Menor"),CONCATENATE("R5C",'Mapa final'!$O$36),"")</f>
        <v/>
      </c>
      <c r="Q50" s="131" t="str">
        <f>IF(AND('Mapa final'!$Y$37="Muy Baja",'Mapa final'!$AA$37="Menor"),CONCATENATE("R5C",'Mapa final'!$O$37),"")</f>
        <v/>
      </c>
      <c r="R50" s="131" t="str">
        <f>IF(AND('Mapa final'!$Y$38="Muy Baja",'Mapa final'!$AA$38="Menor"),CONCATENATE("R5C",'Mapa final'!$O$38),"")</f>
        <v/>
      </c>
      <c r="S50" s="131" t="e">
        <f>IF(AND('Mapa final'!#REF!="Muy Baja",'Mapa final'!#REF!="Menor"),CONCATENATE("R5C",'Mapa final'!#REF!),"")</f>
        <v>#REF!</v>
      </c>
      <c r="T50" s="131" t="e">
        <f>IF(AND('Mapa final'!#REF!="Muy Baja",'Mapa final'!#REF!="Menor"),CONCATENATE("R5C",'Mapa final'!#REF!),"")</f>
        <v>#REF!</v>
      </c>
      <c r="U50" s="132" t="e">
        <f>IF(AND('Mapa final'!#REF!="Muy Baja",'Mapa final'!#REF!="Menor"),CONCATENATE("R5C",'Mapa final'!#REF!),"")</f>
        <v>#REF!</v>
      </c>
      <c r="V50" s="121" t="str">
        <f>IF(AND('Mapa final'!$Y$36="Muy Baja",'Mapa final'!$AA$36="Moderado"),CONCATENATE("R5C",'Mapa final'!$O$36),"")</f>
        <v/>
      </c>
      <c r="W50" s="122" t="str">
        <f>IF(AND('Mapa final'!$Y$37="Muy Baja",'Mapa final'!$AA$37="Moderado"),CONCATENATE("R5C",'Mapa final'!$O$37),"")</f>
        <v/>
      </c>
      <c r="X50" s="122" t="str">
        <f>IF(AND('Mapa final'!$Y$38="Muy Baja",'Mapa final'!$AA$38="Moderado"),CONCATENATE("R5C",'Mapa final'!$O$38),"")</f>
        <v/>
      </c>
      <c r="Y50" s="122" t="e">
        <f>IF(AND('Mapa final'!#REF!="Muy Baja",'Mapa final'!#REF!="Moderado"),CONCATENATE("R5C",'Mapa final'!#REF!),"")</f>
        <v>#REF!</v>
      </c>
      <c r="Z50" s="122" t="e">
        <f>IF(AND('Mapa final'!#REF!="Muy Baja",'Mapa final'!#REF!="Moderado"),CONCATENATE("R5C",'Mapa final'!#REF!),"")</f>
        <v>#REF!</v>
      </c>
      <c r="AA50" s="123" t="e">
        <f>IF(AND('Mapa final'!#REF!="Muy Baja",'Mapa final'!#REF!="Moderado"),CONCATENATE("R5C",'Mapa final'!#REF!),"")</f>
        <v>#REF!</v>
      </c>
      <c r="AB50" s="111" t="str">
        <f>IF(AND('Mapa final'!$Y$36="Muy Baja",'Mapa final'!$AA$36="Mayor"),CONCATENATE("R5C",'Mapa final'!$O$36),"")</f>
        <v/>
      </c>
      <c r="AC50" s="112" t="str">
        <f>IF(AND('Mapa final'!$Y$37="Muy Baja",'Mapa final'!$AA$37="Mayor"),CONCATENATE("R5C",'Mapa final'!$O$37),"")</f>
        <v/>
      </c>
      <c r="AD50" s="112" t="str">
        <f>IF(AND('Mapa final'!$Y$38="Muy Baja",'Mapa final'!$AA$38="Mayor"),CONCATENATE("R5C",'Mapa final'!$O$38),"")</f>
        <v/>
      </c>
      <c r="AE50" s="112" t="e">
        <f>IF(AND('Mapa final'!#REF!="Muy Baja",'Mapa final'!#REF!="Mayor"),CONCATENATE("R5C",'Mapa final'!#REF!),"")</f>
        <v>#REF!</v>
      </c>
      <c r="AF50" s="112" t="e">
        <f>IF(AND('Mapa final'!#REF!="Muy Baja",'Mapa final'!#REF!="Mayor"),CONCATENATE("R5C",'Mapa final'!#REF!),"")</f>
        <v>#REF!</v>
      </c>
      <c r="AG50" s="113" t="e">
        <f>IF(AND('Mapa final'!#REF!="Muy Baja",'Mapa final'!#REF!="Mayor"),CONCATENATE("R5C",'Mapa final'!#REF!),"")</f>
        <v>#REF!</v>
      </c>
      <c r="AH50" s="140" t="str">
        <f>IF(AND('Mapa final'!$Y$36="Muy Baja",'Mapa final'!$AA$36="Catastrófico"),CONCATENATE("R5C",'Mapa final'!$O$36),"")</f>
        <v/>
      </c>
      <c r="AI50" s="141" t="str">
        <f>IF(AND('Mapa final'!$Y$37="Muy Baja",'Mapa final'!$AA$37="Catastrófico"),CONCATENATE("R5C",'Mapa final'!$O$37),"")</f>
        <v/>
      </c>
      <c r="AJ50" s="141" t="str">
        <f>IF(AND('Mapa final'!$Y$38="Muy Baja",'Mapa final'!$AA$38="Catastrófico"),CONCATENATE("R5C",'Mapa final'!$O$38),"")</f>
        <v/>
      </c>
      <c r="AK50" s="141" t="e">
        <f>IF(AND('Mapa final'!#REF!="Muy Baja",'Mapa final'!#REF!="Catastrófico"),CONCATENATE("R5C",'Mapa final'!#REF!),"")</f>
        <v>#REF!</v>
      </c>
      <c r="AL50" s="141" t="e">
        <f>IF(AND('Mapa final'!#REF!="Muy Baja",'Mapa final'!#REF!="Catastrófico"),CONCATENATE("R5C",'Mapa final'!#REF!),"")</f>
        <v>#REF!</v>
      </c>
      <c r="AM50" s="142" t="e">
        <f>IF(AND('Mapa final'!#REF!="Muy Baja",'Mapa final'!#REF!="Catastrófico"),CONCATENATE("R5C",'Mapa final'!#REF!),"")</f>
        <v>#REF!</v>
      </c>
    </row>
    <row r="51" customHeight="1" spans="2:39">
      <c r="B51" s="63"/>
      <c r="D51" s="100"/>
      <c r="E51" s="103"/>
      <c r="I51" s="100"/>
      <c r="J51" s="130" t="str">
        <f>IF(AND('Mapa final'!$Y$41="Muy Baja",'Mapa final'!$AA$41="Leve"),CONCATENATE("R6C",'Mapa final'!$O$41),"")</f>
        <v/>
      </c>
      <c r="K51" s="131" t="str">
        <f>IF(AND('Mapa final'!$Y$42="Muy Baja",'Mapa final'!$AA$42="Leve"),CONCATENATE("R6C",'Mapa final'!$O$42),"")</f>
        <v/>
      </c>
      <c r="L51" s="131" t="str">
        <f>IF(AND('Mapa final'!$Y$43="Muy Baja",'Mapa final'!$AA$43="Leve"),CONCATENATE("R6C",'Mapa final'!$O$43),"")</f>
        <v/>
      </c>
      <c r="M51" s="131" t="e">
        <f>IF(AND('Mapa final'!#REF!="Muy Baja",'Mapa final'!#REF!="Leve"),CONCATENATE("R6C",'Mapa final'!#REF!),"")</f>
        <v>#REF!</v>
      </c>
      <c r="N51" s="131" t="e">
        <f>IF(AND('Mapa final'!#REF!="Muy Baja",'Mapa final'!#REF!="Leve"),CONCATENATE("R6C",'Mapa final'!#REF!),"")</f>
        <v>#REF!</v>
      </c>
      <c r="O51" s="132" t="e">
        <f>IF(AND('Mapa final'!#REF!="Muy Baja",'Mapa final'!#REF!="Leve"),CONCATENATE("R6C",'Mapa final'!#REF!),"")</f>
        <v>#REF!</v>
      </c>
      <c r="P51" s="130" t="str">
        <f>IF(AND('Mapa final'!$Y$41="Muy Baja",'Mapa final'!$AA$41="Menor"),CONCATENATE("R6C",'Mapa final'!$O$41),"")</f>
        <v/>
      </c>
      <c r="Q51" s="131" t="str">
        <f>IF(AND('Mapa final'!$Y$42="Muy Baja",'Mapa final'!$AA$42="Menor"),CONCATENATE("R6C",'Mapa final'!$O$42),"")</f>
        <v/>
      </c>
      <c r="R51" s="131" t="str">
        <f>IF(AND('Mapa final'!$Y$43="Muy Baja",'Mapa final'!$AA$43="Menor"),CONCATENATE("R6C",'Mapa final'!$O$43),"")</f>
        <v/>
      </c>
      <c r="S51" s="131" t="e">
        <f>IF(AND('Mapa final'!#REF!="Muy Baja",'Mapa final'!#REF!="Menor"),CONCATENATE("R6C",'Mapa final'!#REF!),"")</f>
        <v>#REF!</v>
      </c>
      <c r="T51" s="131" t="e">
        <f>IF(AND('Mapa final'!#REF!="Muy Baja",'Mapa final'!#REF!="Menor"),CONCATENATE("R6C",'Mapa final'!#REF!),"")</f>
        <v>#REF!</v>
      </c>
      <c r="U51" s="132" t="e">
        <f>IF(AND('Mapa final'!#REF!="Muy Baja",'Mapa final'!#REF!="Menor"),CONCATENATE("R6C",'Mapa final'!#REF!),"")</f>
        <v>#REF!</v>
      </c>
      <c r="V51" s="121" t="str">
        <f>IF(AND('Mapa final'!$Y$41="Muy Baja",'Mapa final'!$AA$41="Moderado"),CONCATENATE("R6C",'Mapa final'!$O$41),"")</f>
        <v/>
      </c>
      <c r="W51" s="122" t="str">
        <f>IF(AND('Mapa final'!$Y$42="Muy Baja",'Mapa final'!$AA$42="Moderado"),CONCATENATE("R6C",'Mapa final'!$O$42),"")</f>
        <v/>
      </c>
      <c r="X51" s="122" t="str">
        <f>IF(AND('Mapa final'!$Y$43="Muy Baja",'Mapa final'!$AA$43="Moderado"),CONCATENATE("R6C",'Mapa final'!$O$43),"")</f>
        <v/>
      </c>
      <c r="Y51" s="122" t="e">
        <f>IF(AND('Mapa final'!#REF!="Muy Baja",'Mapa final'!#REF!="Moderado"),CONCATENATE("R6C",'Mapa final'!#REF!),"")</f>
        <v>#REF!</v>
      </c>
      <c r="Z51" s="122" t="e">
        <f>IF(AND('Mapa final'!#REF!="Muy Baja",'Mapa final'!#REF!="Moderado"),CONCATENATE("R6C",'Mapa final'!#REF!),"")</f>
        <v>#REF!</v>
      </c>
      <c r="AA51" s="123" t="e">
        <f>IF(AND('Mapa final'!#REF!="Muy Baja",'Mapa final'!#REF!="Moderado"),CONCATENATE("R6C",'Mapa final'!#REF!),"")</f>
        <v>#REF!</v>
      </c>
      <c r="AB51" s="111" t="str">
        <f>IF(AND('Mapa final'!$Y$41="Muy Baja",'Mapa final'!$AA$41="Mayor"),CONCATENATE("R6C",'Mapa final'!$O$41),"")</f>
        <v/>
      </c>
      <c r="AC51" s="112" t="str">
        <f>IF(AND('Mapa final'!$Y$42="Muy Baja",'Mapa final'!$AA$42="Mayor"),CONCATENATE("R6C",'Mapa final'!$O$42),"")</f>
        <v/>
      </c>
      <c r="AD51" s="112" t="str">
        <f>IF(AND('Mapa final'!$Y$43="Muy Baja",'Mapa final'!$AA$43="Mayor"),CONCATENATE("R6C",'Mapa final'!$O$43),"")</f>
        <v/>
      </c>
      <c r="AE51" s="112" t="e">
        <f>IF(AND('Mapa final'!#REF!="Muy Baja",'Mapa final'!#REF!="Mayor"),CONCATENATE("R6C",'Mapa final'!#REF!),"")</f>
        <v>#REF!</v>
      </c>
      <c r="AF51" s="112" t="e">
        <f>IF(AND('Mapa final'!#REF!="Muy Baja",'Mapa final'!#REF!="Mayor"),CONCATENATE("R6C",'Mapa final'!#REF!),"")</f>
        <v>#REF!</v>
      </c>
      <c r="AG51" s="113" t="e">
        <f>IF(AND('Mapa final'!#REF!="Muy Baja",'Mapa final'!#REF!="Mayor"),CONCATENATE("R6C",'Mapa final'!#REF!),"")</f>
        <v>#REF!</v>
      </c>
      <c r="AH51" s="140" t="str">
        <f>IF(AND('Mapa final'!$Y$41="Muy Baja",'Mapa final'!$AA$41="Catastrófico"),CONCATENATE("R6C",'Mapa final'!$O$41),"")</f>
        <v/>
      </c>
      <c r="AI51" s="141" t="str">
        <f>IF(AND('Mapa final'!$Y$42="Muy Baja",'Mapa final'!$AA$42="Catastrófico"),CONCATENATE("R6C",'Mapa final'!$O$42),"")</f>
        <v/>
      </c>
      <c r="AJ51" s="141" t="str">
        <f>IF(AND('Mapa final'!$Y$43="Muy Baja",'Mapa final'!$AA$43="Catastrófico"),CONCATENATE("R6C",'Mapa final'!$O$43),"")</f>
        <v/>
      </c>
      <c r="AK51" s="141" t="e">
        <f>IF(AND('Mapa final'!#REF!="Muy Baja",'Mapa final'!#REF!="Catastrófico"),CONCATENATE("R6C",'Mapa final'!#REF!),"")</f>
        <v>#REF!</v>
      </c>
      <c r="AL51" s="141" t="e">
        <f>IF(AND('Mapa final'!#REF!="Muy Baja",'Mapa final'!#REF!="Catastrófico"),CONCATENATE("R6C",'Mapa final'!#REF!),"")</f>
        <v>#REF!</v>
      </c>
      <c r="AM51" s="142" t="e">
        <f>IF(AND('Mapa final'!#REF!="Muy Baja",'Mapa final'!#REF!="Catastrófico"),CONCATENATE("R6C",'Mapa final'!#REF!),"")</f>
        <v>#REF!</v>
      </c>
    </row>
    <row r="52" customHeight="1" spans="2:39">
      <c r="B52" s="63"/>
      <c r="D52" s="100"/>
      <c r="E52" s="103"/>
      <c r="I52" s="100"/>
      <c r="J52" s="130" t="e">
        <f>IF(AND('Mapa final'!#REF!="Muy Baja",'Mapa final'!#REF!="Leve"),CONCATENATE("R7C",'Mapa final'!#REF!),"")</f>
        <v>#REF!</v>
      </c>
      <c r="K52" s="131" t="e">
        <f>IF(AND('Mapa final'!#REF!="Muy Baja",'Mapa final'!#REF!="Leve"),CONCATENATE("R7C",'Mapa final'!#REF!),"")</f>
        <v>#REF!</v>
      </c>
      <c r="L52" s="131" t="e">
        <f>IF(AND('Mapa final'!#REF!="Muy Baja",'Mapa final'!#REF!="Leve"),CONCATENATE("R7C",'Mapa final'!#REF!),"")</f>
        <v>#REF!</v>
      </c>
      <c r="M52" s="131" t="e">
        <f>IF(AND('Mapa final'!#REF!="Muy Baja",'Mapa final'!#REF!="Leve"),CONCATENATE("R7C",'Mapa final'!#REF!),"")</f>
        <v>#REF!</v>
      </c>
      <c r="N52" s="131" t="e">
        <f>IF(AND('Mapa final'!#REF!="Muy Baja",'Mapa final'!#REF!="Leve"),CONCATENATE("R7C",'Mapa final'!#REF!),"")</f>
        <v>#REF!</v>
      </c>
      <c r="O52" s="132" t="e">
        <f>IF(AND('Mapa final'!#REF!="Muy Baja",'Mapa final'!#REF!="Leve"),CONCATENATE("R7C",'Mapa final'!#REF!),"")</f>
        <v>#REF!</v>
      </c>
      <c r="P52" s="130" t="e">
        <f>IF(AND('Mapa final'!#REF!="Muy Baja",'Mapa final'!#REF!="Menor"),CONCATENATE("R7C",'Mapa final'!#REF!),"")</f>
        <v>#REF!</v>
      </c>
      <c r="Q52" s="131" t="e">
        <f>IF(AND('Mapa final'!#REF!="Muy Baja",'Mapa final'!#REF!="Menor"),CONCATENATE("R7C",'Mapa final'!#REF!),"")</f>
        <v>#REF!</v>
      </c>
      <c r="R52" s="131" t="e">
        <f>IF(AND('Mapa final'!#REF!="Muy Baja",'Mapa final'!#REF!="Menor"),CONCATENATE("R7C",'Mapa final'!#REF!),"")</f>
        <v>#REF!</v>
      </c>
      <c r="S52" s="131" t="e">
        <f>IF(AND('Mapa final'!#REF!="Muy Baja",'Mapa final'!#REF!="Menor"),CONCATENATE("R7C",'Mapa final'!#REF!),"")</f>
        <v>#REF!</v>
      </c>
      <c r="T52" s="131" t="e">
        <f>IF(AND('Mapa final'!#REF!="Muy Baja",'Mapa final'!#REF!="Menor"),CONCATENATE("R7C",'Mapa final'!#REF!),"")</f>
        <v>#REF!</v>
      </c>
      <c r="U52" s="132" t="e">
        <f>IF(AND('Mapa final'!#REF!="Muy Baja",'Mapa final'!#REF!="Menor"),CONCATENATE("R7C",'Mapa final'!#REF!),"")</f>
        <v>#REF!</v>
      </c>
      <c r="V52" s="121" t="e">
        <f>IF(AND('Mapa final'!#REF!="Muy Baja",'Mapa final'!#REF!="Moderado"),CONCATENATE("R7C",'Mapa final'!#REF!),"")</f>
        <v>#REF!</v>
      </c>
      <c r="W52" s="122" t="e">
        <f>IF(AND('Mapa final'!#REF!="Muy Baja",'Mapa final'!#REF!="Moderado"),CONCATENATE("R7C",'Mapa final'!#REF!),"")</f>
        <v>#REF!</v>
      </c>
      <c r="X52" s="122" t="e">
        <f>IF(AND('Mapa final'!#REF!="Muy Baja",'Mapa final'!#REF!="Moderado"),CONCATENATE("R7C",'Mapa final'!#REF!),"")</f>
        <v>#REF!</v>
      </c>
      <c r="Y52" s="122" t="e">
        <f>IF(AND('Mapa final'!#REF!="Muy Baja",'Mapa final'!#REF!="Moderado"),CONCATENATE("R7C",'Mapa final'!#REF!),"")</f>
        <v>#REF!</v>
      </c>
      <c r="Z52" s="122" t="e">
        <f>IF(AND('Mapa final'!#REF!="Muy Baja",'Mapa final'!#REF!="Moderado"),CONCATENATE("R7C",'Mapa final'!#REF!),"")</f>
        <v>#REF!</v>
      </c>
      <c r="AA52" s="123" t="e">
        <f>IF(AND('Mapa final'!#REF!="Muy Baja",'Mapa final'!#REF!="Moderado"),CONCATENATE("R7C",'Mapa final'!#REF!),"")</f>
        <v>#REF!</v>
      </c>
      <c r="AB52" s="111" t="e">
        <f>IF(AND('Mapa final'!#REF!="Muy Baja",'Mapa final'!#REF!="Mayor"),CONCATENATE("R7C",'Mapa final'!#REF!),"")</f>
        <v>#REF!</v>
      </c>
      <c r="AC52" s="112" t="e">
        <f>IF(AND('Mapa final'!#REF!="Muy Baja",'Mapa final'!#REF!="Mayor"),CONCATENATE("R7C",'Mapa final'!#REF!),"")</f>
        <v>#REF!</v>
      </c>
      <c r="AD52" s="112" t="e">
        <f>IF(AND('Mapa final'!#REF!="Muy Baja",'Mapa final'!#REF!="Mayor"),CONCATENATE("R7C",'Mapa final'!#REF!),"")</f>
        <v>#REF!</v>
      </c>
      <c r="AE52" s="112" t="e">
        <f>IF(AND('Mapa final'!#REF!="Muy Baja",'Mapa final'!#REF!="Mayor"),CONCATENATE("R7C",'Mapa final'!#REF!),"")</f>
        <v>#REF!</v>
      </c>
      <c r="AF52" s="112" t="e">
        <f>IF(AND('Mapa final'!#REF!="Muy Baja",'Mapa final'!#REF!="Mayor"),CONCATENATE("R7C",'Mapa final'!#REF!),"")</f>
        <v>#REF!</v>
      </c>
      <c r="AG52" s="113" t="e">
        <f>IF(AND('Mapa final'!#REF!="Muy Baja",'Mapa final'!#REF!="Mayor"),CONCATENATE("R7C",'Mapa final'!#REF!),"")</f>
        <v>#REF!</v>
      </c>
      <c r="AH52" s="140" t="e">
        <f>IF(AND('Mapa final'!#REF!="Muy Baja",'Mapa final'!#REF!="Catastrófico"),CONCATENATE("R7C",'Mapa final'!#REF!),"")</f>
        <v>#REF!</v>
      </c>
      <c r="AI52" s="141" t="e">
        <f>IF(AND('Mapa final'!#REF!="Muy Baja",'Mapa final'!#REF!="Catastrófico"),CONCATENATE("R7C",'Mapa final'!#REF!),"")</f>
        <v>#REF!</v>
      </c>
      <c r="AJ52" s="141" t="e">
        <f>IF(AND('Mapa final'!#REF!="Muy Baja",'Mapa final'!#REF!="Catastrófico"),CONCATENATE("R7C",'Mapa final'!#REF!),"")</f>
        <v>#REF!</v>
      </c>
      <c r="AK52" s="141" t="e">
        <f>IF(AND('Mapa final'!#REF!="Muy Baja",'Mapa final'!#REF!="Catastrófico"),CONCATENATE("R7C",'Mapa final'!#REF!),"")</f>
        <v>#REF!</v>
      </c>
      <c r="AL52" s="141" t="e">
        <f>IF(AND('Mapa final'!#REF!="Muy Baja",'Mapa final'!#REF!="Catastrófico"),CONCATENATE("R7C",'Mapa final'!#REF!),"")</f>
        <v>#REF!</v>
      </c>
      <c r="AM52" s="142" t="e">
        <f>IF(AND('Mapa final'!#REF!="Muy Baja",'Mapa final'!#REF!="Catastrófico"),CONCATENATE("R7C",'Mapa final'!#REF!),"")</f>
        <v>#REF!</v>
      </c>
    </row>
    <row r="53" customHeight="1" spans="2:39">
      <c r="B53" s="63"/>
      <c r="D53" s="100"/>
      <c r="E53" s="103"/>
      <c r="I53" s="100"/>
      <c r="J53" s="130" t="e">
        <f>IF(AND('Mapa final'!#REF!="Muy Baja",'Mapa final'!#REF!="Leve"),CONCATENATE("R8C",'Mapa final'!#REF!),"")</f>
        <v>#REF!</v>
      </c>
      <c r="K53" s="131" t="e">
        <f>IF(AND('Mapa final'!#REF!="Muy Baja",'Mapa final'!#REF!="Leve"),CONCATENATE("R8C",'Mapa final'!#REF!),"")</f>
        <v>#REF!</v>
      </c>
      <c r="L53" s="131" t="e">
        <f>IF(AND('Mapa final'!#REF!="Muy Baja",'Mapa final'!#REF!="Leve"),CONCATENATE("R8C",'Mapa final'!#REF!),"")</f>
        <v>#REF!</v>
      </c>
      <c r="M53" s="131" t="e">
        <f>IF(AND('Mapa final'!#REF!="Muy Baja",'Mapa final'!#REF!="Leve"),CONCATENATE("R8C",'Mapa final'!#REF!),"")</f>
        <v>#REF!</v>
      </c>
      <c r="N53" s="131" t="e">
        <f>IF(AND('Mapa final'!#REF!="Muy Baja",'Mapa final'!#REF!="Leve"),CONCATENATE("R8C",'Mapa final'!#REF!),"")</f>
        <v>#REF!</v>
      </c>
      <c r="O53" s="132" t="e">
        <f>IF(AND('Mapa final'!#REF!="Muy Baja",'Mapa final'!#REF!="Leve"),CONCATENATE("R8C",'Mapa final'!#REF!),"")</f>
        <v>#REF!</v>
      </c>
      <c r="P53" s="130" t="e">
        <f>IF(AND('Mapa final'!#REF!="Muy Baja",'Mapa final'!#REF!="Menor"),CONCATENATE("R8C",'Mapa final'!#REF!),"")</f>
        <v>#REF!</v>
      </c>
      <c r="Q53" s="131" t="e">
        <f>IF(AND('Mapa final'!#REF!="Muy Baja",'Mapa final'!#REF!="Menor"),CONCATENATE("R8C",'Mapa final'!#REF!),"")</f>
        <v>#REF!</v>
      </c>
      <c r="R53" s="131" t="e">
        <f>IF(AND('Mapa final'!#REF!="Muy Baja",'Mapa final'!#REF!="Menor"),CONCATENATE("R8C",'Mapa final'!#REF!),"")</f>
        <v>#REF!</v>
      </c>
      <c r="S53" s="131" t="e">
        <f>IF(AND('Mapa final'!#REF!="Muy Baja",'Mapa final'!#REF!="Menor"),CONCATENATE("R8C",'Mapa final'!#REF!),"")</f>
        <v>#REF!</v>
      </c>
      <c r="T53" s="131" t="e">
        <f>IF(AND('Mapa final'!#REF!="Muy Baja",'Mapa final'!#REF!="Menor"),CONCATENATE("R8C",'Mapa final'!#REF!),"")</f>
        <v>#REF!</v>
      </c>
      <c r="U53" s="132" t="e">
        <f>IF(AND('Mapa final'!#REF!="Muy Baja",'Mapa final'!#REF!="Menor"),CONCATENATE("R8C",'Mapa final'!#REF!),"")</f>
        <v>#REF!</v>
      </c>
      <c r="V53" s="121" t="e">
        <f>IF(AND('Mapa final'!#REF!="Muy Baja",'Mapa final'!#REF!="Moderado"),CONCATENATE("R8C",'Mapa final'!#REF!),"")</f>
        <v>#REF!</v>
      </c>
      <c r="W53" s="122" t="e">
        <f>IF(AND('Mapa final'!#REF!="Muy Baja",'Mapa final'!#REF!="Moderado"),CONCATENATE("R8C",'Mapa final'!#REF!),"")</f>
        <v>#REF!</v>
      </c>
      <c r="X53" s="122" t="e">
        <f>IF(AND('Mapa final'!#REF!="Muy Baja",'Mapa final'!#REF!="Moderado"),CONCATENATE("R8C",'Mapa final'!#REF!),"")</f>
        <v>#REF!</v>
      </c>
      <c r="Y53" s="122" t="e">
        <f>IF(AND('Mapa final'!#REF!="Muy Baja",'Mapa final'!#REF!="Moderado"),CONCATENATE("R8C",'Mapa final'!#REF!),"")</f>
        <v>#REF!</v>
      </c>
      <c r="Z53" s="122" t="e">
        <f>IF(AND('Mapa final'!#REF!="Muy Baja",'Mapa final'!#REF!="Moderado"),CONCATENATE("R8C",'Mapa final'!#REF!),"")</f>
        <v>#REF!</v>
      </c>
      <c r="AA53" s="123" t="e">
        <f>IF(AND('Mapa final'!#REF!="Muy Baja",'Mapa final'!#REF!="Moderado"),CONCATENATE("R8C",'Mapa final'!#REF!),"")</f>
        <v>#REF!</v>
      </c>
      <c r="AB53" s="111" t="e">
        <f>IF(AND('Mapa final'!#REF!="Muy Baja",'Mapa final'!#REF!="Mayor"),CONCATENATE("R8C",'Mapa final'!#REF!),"")</f>
        <v>#REF!</v>
      </c>
      <c r="AC53" s="112" t="e">
        <f>IF(AND('Mapa final'!#REF!="Muy Baja",'Mapa final'!#REF!="Mayor"),CONCATENATE("R8C",'Mapa final'!#REF!),"")</f>
        <v>#REF!</v>
      </c>
      <c r="AD53" s="112" t="e">
        <f>IF(AND('Mapa final'!#REF!="Muy Baja",'Mapa final'!#REF!="Mayor"),CONCATENATE("R8C",'Mapa final'!#REF!),"")</f>
        <v>#REF!</v>
      </c>
      <c r="AE53" s="112" t="e">
        <f>IF(AND('Mapa final'!#REF!="Muy Baja",'Mapa final'!#REF!="Mayor"),CONCATENATE("R8C",'Mapa final'!#REF!),"")</f>
        <v>#REF!</v>
      </c>
      <c r="AF53" s="112" t="e">
        <f>IF(AND('Mapa final'!#REF!="Muy Baja",'Mapa final'!#REF!="Mayor"),CONCATENATE("R8C",'Mapa final'!#REF!),"")</f>
        <v>#REF!</v>
      </c>
      <c r="AG53" s="113" t="e">
        <f>IF(AND('Mapa final'!#REF!="Muy Baja",'Mapa final'!#REF!="Mayor"),CONCATENATE("R8C",'Mapa final'!#REF!),"")</f>
        <v>#REF!</v>
      </c>
      <c r="AH53" s="140" t="e">
        <f>IF(AND('Mapa final'!#REF!="Muy Baja",'Mapa final'!#REF!="Catastrófico"),CONCATENATE("R8C",'Mapa final'!#REF!),"")</f>
        <v>#REF!</v>
      </c>
      <c r="AI53" s="141" t="e">
        <f>IF(AND('Mapa final'!#REF!="Muy Baja",'Mapa final'!#REF!="Catastrófico"),CONCATENATE("R8C",'Mapa final'!#REF!),"")</f>
        <v>#REF!</v>
      </c>
      <c r="AJ53" s="141" t="e">
        <f>IF(AND('Mapa final'!#REF!="Muy Baja",'Mapa final'!#REF!="Catastrófico"),CONCATENATE("R8C",'Mapa final'!#REF!),"")</f>
        <v>#REF!</v>
      </c>
      <c r="AK53" s="141" t="e">
        <f>IF(AND('Mapa final'!#REF!="Muy Baja",'Mapa final'!#REF!="Catastrófico"),CONCATENATE("R8C",'Mapa final'!#REF!),"")</f>
        <v>#REF!</v>
      </c>
      <c r="AL53" s="141" t="e">
        <f>IF(AND('Mapa final'!#REF!="Muy Baja",'Mapa final'!#REF!="Catastrófico"),CONCATENATE("R8C",'Mapa final'!#REF!),"")</f>
        <v>#REF!</v>
      </c>
      <c r="AM53" s="142" t="e">
        <f>IF(AND('Mapa final'!#REF!="Muy Baja",'Mapa final'!#REF!="Catastrófico"),CONCATENATE("R8C",'Mapa final'!#REF!),"")</f>
        <v>#REF!</v>
      </c>
    </row>
    <row r="54" customHeight="1" spans="2:39">
      <c r="B54" s="63"/>
      <c r="D54" s="100"/>
      <c r="E54" s="103"/>
      <c r="I54" s="100"/>
      <c r="J54" s="130" t="e">
        <f>IF(AND('Mapa final'!#REF!="Muy Baja",'Mapa final'!#REF!="Leve"),CONCATENATE("R9C",'Mapa final'!#REF!),"")</f>
        <v>#REF!</v>
      </c>
      <c r="K54" s="131" t="e">
        <f>IF(AND('Mapa final'!#REF!="Muy Baja",'Mapa final'!#REF!="Leve"),CONCATENATE("R9C",'Mapa final'!#REF!),"")</f>
        <v>#REF!</v>
      </c>
      <c r="L54" s="131" t="e">
        <f>IF(AND('Mapa final'!#REF!="Muy Baja",'Mapa final'!#REF!="Leve"),CONCATENATE("R9C",'Mapa final'!#REF!),"")</f>
        <v>#REF!</v>
      </c>
      <c r="M54" s="131" t="e">
        <f>IF(AND('Mapa final'!#REF!="Muy Baja",'Mapa final'!#REF!="Leve"),CONCATENATE("R9C",'Mapa final'!#REF!),"")</f>
        <v>#REF!</v>
      </c>
      <c r="N54" s="131" t="e">
        <f>IF(AND('Mapa final'!#REF!="Muy Baja",'Mapa final'!#REF!="Leve"),CONCATENATE("R9C",'Mapa final'!#REF!),"")</f>
        <v>#REF!</v>
      </c>
      <c r="O54" s="132" t="e">
        <f>IF(AND('Mapa final'!#REF!="Muy Baja",'Mapa final'!#REF!="Leve"),CONCATENATE("R9C",'Mapa final'!#REF!),"")</f>
        <v>#REF!</v>
      </c>
      <c r="P54" s="130" t="e">
        <f>IF(AND('Mapa final'!#REF!="Muy Baja",'Mapa final'!#REF!="Menor"),CONCATENATE("R9C",'Mapa final'!#REF!),"")</f>
        <v>#REF!</v>
      </c>
      <c r="Q54" s="131" t="e">
        <f>IF(AND('Mapa final'!#REF!="Muy Baja",'Mapa final'!#REF!="Menor"),CONCATENATE("R9C",'Mapa final'!#REF!),"")</f>
        <v>#REF!</v>
      </c>
      <c r="R54" s="131" t="e">
        <f>IF(AND('Mapa final'!#REF!="Muy Baja",'Mapa final'!#REF!="Menor"),CONCATENATE("R9C",'Mapa final'!#REF!),"")</f>
        <v>#REF!</v>
      </c>
      <c r="S54" s="131" t="e">
        <f>IF(AND('Mapa final'!#REF!="Muy Baja",'Mapa final'!#REF!="Menor"),CONCATENATE("R9C",'Mapa final'!#REF!),"")</f>
        <v>#REF!</v>
      </c>
      <c r="T54" s="131" t="e">
        <f>IF(AND('Mapa final'!#REF!="Muy Baja",'Mapa final'!#REF!="Menor"),CONCATENATE("R9C",'Mapa final'!#REF!),"")</f>
        <v>#REF!</v>
      </c>
      <c r="U54" s="132" t="e">
        <f>IF(AND('Mapa final'!#REF!="Muy Baja",'Mapa final'!#REF!="Menor"),CONCATENATE("R9C",'Mapa final'!#REF!),"")</f>
        <v>#REF!</v>
      </c>
      <c r="V54" s="121" t="e">
        <f>IF(AND('Mapa final'!#REF!="Muy Baja",'Mapa final'!#REF!="Moderado"),CONCATENATE("R9C",'Mapa final'!#REF!),"")</f>
        <v>#REF!</v>
      </c>
      <c r="W54" s="122" t="e">
        <f>IF(AND('Mapa final'!#REF!="Muy Baja",'Mapa final'!#REF!="Moderado"),CONCATENATE("R9C",'Mapa final'!#REF!),"")</f>
        <v>#REF!</v>
      </c>
      <c r="X54" s="122" t="e">
        <f>IF(AND('Mapa final'!#REF!="Muy Baja",'Mapa final'!#REF!="Moderado"),CONCATENATE("R9C",'Mapa final'!#REF!),"")</f>
        <v>#REF!</v>
      </c>
      <c r="Y54" s="122" t="e">
        <f>IF(AND('Mapa final'!#REF!="Muy Baja",'Mapa final'!#REF!="Moderado"),CONCATENATE("R9C",'Mapa final'!#REF!),"")</f>
        <v>#REF!</v>
      </c>
      <c r="Z54" s="122" t="e">
        <f>IF(AND('Mapa final'!#REF!="Muy Baja",'Mapa final'!#REF!="Moderado"),CONCATENATE("R9C",'Mapa final'!#REF!),"")</f>
        <v>#REF!</v>
      </c>
      <c r="AA54" s="123" t="e">
        <f>IF(AND('Mapa final'!#REF!="Muy Baja",'Mapa final'!#REF!="Moderado"),CONCATENATE("R9C",'Mapa final'!#REF!),"")</f>
        <v>#REF!</v>
      </c>
      <c r="AB54" s="111" t="e">
        <f>IF(AND('Mapa final'!#REF!="Muy Baja",'Mapa final'!#REF!="Mayor"),CONCATENATE("R9C",'Mapa final'!#REF!),"")</f>
        <v>#REF!</v>
      </c>
      <c r="AC54" s="112" t="e">
        <f>IF(AND('Mapa final'!#REF!="Muy Baja",'Mapa final'!#REF!="Mayor"),CONCATENATE("R9C",'Mapa final'!#REF!),"")</f>
        <v>#REF!</v>
      </c>
      <c r="AD54" s="112" t="e">
        <f>IF(AND('Mapa final'!#REF!="Muy Baja",'Mapa final'!#REF!="Mayor"),CONCATENATE("R9C",'Mapa final'!#REF!),"")</f>
        <v>#REF!</v>
      </c>
      <c r="AE54" s="112" t="e">
        <f>IF(AND('Mapa final'!#REF!="Muy Baja",'Mapa final'!#REF!="Mayor"),CONCATENATE("R9C",'Mapa final'!#REF!),"")</f>
        <v>#REF!</v>
      </c>
      <c r="AF54" s="112" t="e">
        <f>IF(AND('Mapa final'!#REF!="Muy Baja",'Mapa final'!#REF!="Mayor"),CONCATENATE("R9C",'Mapa final'!#REF!),"")</f>
        <v>#REF!</v>
      </c>
      <c r="AG54" s="113" t="e">
        <f>IF(AND('Mapa final'!#REF!="Muy Baja",'Mapa final'!#REF!="Mayor"),CONCATENATE("R9C",'Mapa final'!#REF!),"")</f>
        <v>#REF!</v>
      </c>
      <c r="AH54" s="140" t="e">
        <f>IF(AND('Mapa final'!#REF!="Muy Baja",'Mapa final'!#REF!="Catastrófico"),CONCATENATE("R9C",'Mapa final'!#REF!),"")</f>
        <v>#REF!</v>
      </c>
      <c r="AI54" s="141" t="e">
        <f>IF(AND('Mapa final'!#REF!="Muy Baja",'Mapa final'!#REF!="Catastrófico"),CONCATENATE("R9C",'Mapa final'!#REF!),"")</f>
        <v>#REF!</v>
      </c>
      <c r="AJ54" s="141" t="e">
        <f>IF(AND('Mapa final'!#REF!="Muy Baja",'Mapa final'!#REF!="Catastrófico"),CONCATENATE("R9C",'Mapa final'!#REF!),"")</f>
        <v>#REF!</v>
      </c>
      <c r="AK54" s="141" t="e">
        <f>IF(AND('Mapa final'!#REF!="Muy Baja",'Mapa final'!#REF!="Catastrófico"),CONCATENATE("R9C",'Mapa final'!#REF!),"")</f>
        <v>#REF!</v>
      </c>
      <c r="AL54" s="141" t="e">
        <f>IF(AND('Mapa final'!#REF!="Muy Baja",'Mapa final'!#REF!="Catastrófico"),CONCATENATE("R9C",'Mapa final'!#REF!),"")</f>
        <v>#REF!</v>
      </c>
      <c r="AM54" s="142" t="e">
        <f>IF(AND('Mapa final'!#REF!="Muy Baja",'Mapa final'!#REF!="Catastrófico"),CONCATENATE("R9C",'Mapa final'!#REF!),"")</f>
        <v>#REF!</v>
      </c>
    </row>
    <row r="55" ht="15.75" customHeight="1" spans="2:39">
      <c r="B55" s="63"/>
      <c r="C55" s="63"/>
      <c r="D55" s="100"/>
      <c r="E55" s="104"/>
      <c r="F55" s="105"/>
      <c r="G55" s="105"/>
      <c r="H55" s="105"/>
      <c r="I55" s="114"/>
      <c r="J55" s="133" t="e">
        <f>IF(AND('Mapa final'!#REF!="Muy Baja",'Mapa final'!#REF!="Leve"),CONCATENATE("R10C",'Mapa final'!#REF!),"")</f>
        <v>#REF!</v>
      </c>
      <c r="K55" s="134" t="e">
        <f>IF(AND('Mapa final'!#REF!="Muy Baja",'Mapa final'!#REF!="Leve"),CONCATENATE("R10C",'Mapa final'!#REF!),"")</f>
        <v>#REF!</v>
      </c>
      <c r="L55" s="134" t="e">
        <f>IF(AND('Mapa final'!#REF!="Muy Baja",'Mapa final'!#REF!="Leve"),CONCATENATE("R10C",'Mapa final'!#REF!),"")</f>
        <v>#REF!</v>
      </c>
      <c r="M55" s="134" t="e">
        <f>IF(AND('Mapa final'!#REF!="Muy Baja",'Mapa final'!#REF!="Leve"),CONCATENATE("R10C",'Mapa final'!#REF!),"")</f>
        <v>#REF!</v>
      </c>
      <c r="N55" s="134" t="e">
        <f>IF(AND('Mapa final'!#REF!="Muy Baja",'Mapa final'!#REF!="Leve"),CONCATENATE("R10C",'Mapa final'!#REF!),"")</f>
        <v>#REF!</v>
      </c>
      <c r="O55" s="135" t="e">
        <f>IF(AND('Mapa final'!#REF!="Muy Baja",'Mapa final'!#REF!="Leve"),CONCATENATE("R10C",'Mapa final'!#REF!),"")</f>
        <v>#REF!</v>
      </c>
      <c r="P55" s="133" t="e">
        <f>IF(AND('Mapa final'!#REF!="Muy Baja",'Mapa final'!#REF!="Menor"),CONCATENATE("R10C",'Mapa final'!#REF!),"")</f>
        <v>#REF!</v>
      </c>
      <c r="Q55" s="134" t="e">
        <f>IF(AND('Mapa final'!#REF!="Muy Baja",'Mapa final'!#REF!="Menor"),CONCATENATE("R10C",'Mapa final'!#REF!),"")</f>
        <v>#REF!</v>
      </c>
      <c r="R55" s="134" t="e">
        <f>IF(AND('Mapa final'!#REF!="Muy Baja",'Mapa final'!#REF!="Menor"),CONCATENATE("R10C",'Mapa final'!#REF!),"")</f>
        <v>#REF!</v>
      </c>
      <c r="S55" s="134" t="e">
        <f>IF(AND('Mapa final'!#REF!="Muy Baja",'Mapa final'!#REF!="Menor"),CONCATENATE("R10C",'Mapa final'!#REF!),"")</f>
        <v>#REF!</v>
      </c>
      <c r="T55" s="134" t="e">
        <f>IF(AND('Mapa final'!#REF!="Muy Baja",'Mapa final'!#REF!="Menor"),CONCATENATE("R10C",'Mapa final'!#REF!),"")</f>
        <v>#REF!</v>
      </c>
      <c r="U55" s="135" t="e">
        <f>IF(AND('Mapa final'!#REF!="Muy Baja",'Mapa final'!#REF!="Menor"),CONCATENATE("R10C",'Mapa final'!#REF!),"")</f>
        <v>#REF!</v>
      </c>
      <c r="V55" s="124" t="e">
        <f>IF(AND('Mapa final'!#REF!="Muy Baja",'Mapa final'!#REF!="Moderado"),CONCATENATE("R10C",'Mapa final'!#REF!),"")</f>
        <v>#REF!</v>
      </c>
      <c r="W55" s="125" t="e">
        <f>IF(AND('Mapa final'!#REF!="Muy Baja",'Mapa final'!#REF!="Moderado"),CONCATENATE("R10C",'Mapa final'!#REF!),"")</f>
        <v>#REF!</v>
      </c>
      <c r="X55" s="125" t="e">
        <f>IF(AND('Mapa final'!#REF!="Muy Baja",'Mapa final'!#REF!="Moderado"),CONCATENATE("R10C",'Mapa final'!#REF!),"")</f>
        <v>#REF!</v>
      </c>
      <c r="Y55" s="125" t="e">
        <f>IF(AND('Mapa final'!#REF!="Muy Baja",'Mapa final'!#REF!="Moderado"),CONCATENATE("R10C",'Mapa final'!#REF!),"")</f>
        <v>#REF!</v>
      </c>
      <c r="Z55" s="125" t="e">
        <f>IF(AND('Mapa final'!#REF!="Muy Baja",'Mapa final'!#REF!="Moderado"),CONCATENATE("R10C",'Mapa final'!#REF!),"")</f>
        <v>#REF!</v>
      </c>
      <c r="AA55" s="126" t="e">
        <f>IF(AND('Mapa final'!#REF!="Muy Baja",'Mapa final'!#REF!="Moderado"),CONCATENATE("R10C",'Mapa final'!#REF!),"")</f>
        <v>#REF!</v>
      </c>
      <c r="AB55" s="115" t="e">
        <f>IF(AND('Mapa final'!#REF!="Muy Baja",'Mapa final'!#REF!="Mayor"),CONCATENATE("R10C",'Mapa final'!#REF!),"")</f>
        <v>#REF!</v>
      </c>
      <c r="AC55" s="116" t="e">
        <f>IF(AND('Mapa final'!#REF!="Muy Baja",'Mapa final'!#REF!="Mayor"),CONCATENATE("R10C",'Mapa final'!#REF!),"")</f>
        <v>#REF!</v>
      </c>
      <c r="AD55" s="116" t="e">
        <f>IF(AND('Mapa final'!#REF!="Muy Baja",'Mapa final'!#REF!="Mayor"),CONCATENATE("R10C",'Mapa final'!#REF!),"")</f>
        <v>#REF!</v>
      </c>
      <c r="AE55" s="116" t="e">
        <f>IF(AND('Mapa final'!#REF!="Muy Baja",'Mapa final'!#REF!="Mayor"),CONCATENATE("R10C",'Mapa final'!#REF!),"")</f>
        <v>#REF!</v>
      </c>
      <c r="AF55" s="116" t="e">
        <f>IF(AND('Mapa final'!#REF!="Muy Baja",'Mapa final'!#REF!="Mayor"),CONCATENATE("R10C",'Mapa final'!#REF!),"")</f>
        <v>#REF!</v>
      </c>
      <c r="AG55" s="117" t="e">
        <f>IF(AND('Mapa final'!#REF!="Muy Baja",'Mapa final'!#REF!="Mayor"),CONCATENATE("R10C",'Mapa final'!#REF!),"")</f>
        <v>#REF!</v>
      </c>
      <c r="AH55" s="143" t="e">
        <f>IF(AND('Mapa final'!#REF!="Muy Baja",'Mapa final'!#REF!="Catastrófico"),CONCATENATE("R10C",'Mapa final'!#REF!),"")</f>
        <v>#REF!</v>
      </c>
      <c r="AI55" s="144" t="e">
        <f>IF(AND('Mapa final'!#REF!="Muy Baja",'Mapa final'!#REF!="Catastrófico"),CONCATENATE("R10C",'Mapa final'!#REF!),"")</f>
        <v>#REF!</v>
      </c>
      <c r="AJ55" s="144" t="e">
        <f>IF(AND('Mapa final'!#REF!="Muy Baja",'Mapa final'!#REF!="Catastrófico"),CONCATENATE("R10C",'Mapa final'!#REF!),"")</f>
        <v>#REF!</v>
      </c>
      <c r="AK55" s="144" t="e">
        <f>IF(AND('Mapa final'!#REF!="Muy Baja",'Mapa final'!#REF!="Catastrófico"),CONCATENATE("R10C",'Mapa final'!#REF!),"")</f>
        <v>#REF!</v>
      </c>
      <c r="AL55" s="144" t="e">
        <f>IF(AND('Mapa final'!#REF!="Muy Baja",'Mapa final'!#REF!="Catastrófico"),CONCATENATE("R10C",'Mapa final'!#REF!),"")</f>
        <v>#REF!</v>
      </c>
      <c r="AM55" s="145" t="e">
        <f>IF(AND('Mapa final'!#REF!="Muy Baja",'Mapa final'!#REF!="Catastrófico"),CONCATENATE("R10C",'Mapa final'!#REF!),"")</f>
        <v>#REF!</v>
      </c>
    </row>
    <row r="56" ht="15.75" customHeight="1" spans="2:39">
      <c r="B56" s="64"/>
      <c r="C56" s="64"/>
      <c r="D56" s="64"/>
      <c r="E56" s="64"/>
      <c r="F56" s="64"/>
      <c r="G56" s="64"/>
      <c r="H56" s="64"/>
      <c r="I56" s="64"/>
      <c r="J56" s="101" t="s">
        <v>140</v>
      </c>
      <c r="K56" s="102"/>
      <c r="L56" s="102"/>
      <c r="M56" s="102"/>
      <c r="N56" s="102"/>
      <c r="O56" s="107"/>
      <c r="P56" s="101" t="s">
        <v>141</v>
      </c>
      <c r="Q56" s="102"/>
      <c r="R56" s="102"/>
      <c r="S56" s="102"/>
      <c r="T56" s="102"/>
      <c r="U56" s="107"/>
      <c r="V56" s="101" t="s">
        <v>142</v>
      </c>
      <c r="W56" s="102"/>
      <c r="X56" s="102"/>
      <c r="Y56" s="102"/>
      <c r="Z56" s="102"/>
      <c r="AA56" s="107"/>
      <c r="AB56" s="101" t="s">
        <v>143</v>
      </c>
      <c r="AC56" s="102"/>
      <c r="AD56" s="102"/>
      <c r="AE56" s="102"/>
      <c r="AF56" s="102"/>
      <c r="AG56" s="107"/>
      <c r="AH56" s="101" t="s">
        <v>144</v>
      </c>
      <c r="AI56" s="102"/>
      <c r="AJ56" s="102"/>
      <c r="AK56" s="102"/>
      <c r="AL56" s="102"/>
      <c r="AM56" s="107"/>
    </row>
    <row r="57" ht="15.75" customHeight="1" spans="2:39">
      <c r="B57" s="64"/>
      <c r="C57" s="64"/>
      <c r="D57" s="64"/>
      <c r="E57" s="64"/>
      <c r="F57" s="64"/>
      <c r="G57" s="64"/>
      <c r="H57" s="64"/>
      <c r="I57" s="64"/>
      <c r="J57" s="103"/>
      <c r="O57" s="100"/>
      <c r="P57" s="103"/>
      <c r="U57" s="100"/>
      <c r="V57" s="103"/>
      <c r="AA57" s="100"/>
      <c r="AB57" s="103"/>
      <c r="AG57" s="100"/>
      <c r="AH57" s="103"/>
      <c r="AM57" s="100"/>
    </row>
    <row r="58" ht="15.75" customHeight="1" spans="2:39">
      <c r="B58" s="64"/>
      <c r="C58" s="64"/>
      <c r="D58" s="64"/>
      <c r="E58" s="64"/>
      <c r="F58" s="64"/>
      <c r="G58" s="64"/>
      <c r="H58" s="64"/>
      <c r="I58" s="64"/>
      <c r="J58" s="103"/>
      <c r="O58" s="100"/>
      <c r="P58" s="103"/>
      <c r="U58" s="100"/>
      <c r="V58" s="103"/>
      <c r="AA58" s="100"/>
      <c r="AB58" s="103"/>
      <c r="AG58" s="100"/>
      <c r="AH58" s="103"/>
      <c r="AM58" s="100"/>
    </row>
    <row r="59" ht="15.75" customHeight="1" spans="2:39">
      <c r="B59" s="64"/>
      <c r="C59" s="64"/>
      <c r="D59" s="64"/>
      <c r="E59" s="64"/>
      <c r="F59" s="64"/>
      <c r="G59" s="64"/>
      <c r="H59" s="64"/>
      <c r="I59" s="64"/>
      <c r="J59" s="103"/>
      <c r="O59" s="100"/>
      <c r="P59" s="103"/>
      <c r="U59" s="100"/>
      <c r="V59" s="103"/>
      <c r="AA59" s="100"/>
      <c r="AB59" s="103"/>
      <c r="AG59" s="100"/>
      <c r="AH59" s="103"/>
      <c r="AM59" s="100"/>
    </row>
    <row r="60" ht="15.75" customHeight="1" spans="2:39">
      <c r="B60" s="64"/>
      <c r="C60" s="64"/>
      <c r="D60" s="64"/>
      <c r="E60" s="64"/>
      <c r="F60" s="64"/>
      <c r="G60" s="64"/>
      <c r="H60" s="64"/>
      <c r="I60" s="64"/>
      <c r="J60" s="103"/>
      <c r="O60" s="100"/>
      <c r="P60" s="103"/>
      <c r="U60" s="100"/>
      <c r="V60" s="103"/>
      <c r="AA60" s="100"/>
      <c r="AB60" s="103"/>
      <c r="AG60" s="100"/>
      <c r="AH60" s="103"/>
      <c r="AM60" s="100"/>
    </row>
    <row r="61" ht="15.75" customHeight="1" spans="2:39">
      <c r="B61" s="64"/>
      <c r="C61" s="64"/>
      <c r="D61" s="64"/>
      <c r="E61" s="64"/>
      <c r="F61" s="64"/>
      <c r="G61" s="64"/>
      <c r="H61" s="64"/>
      <c r="I61" s="64"/>
      <c r="J61" s="104"/>
      <c r="K61" s="105"/>
      <c r="L61" s="105"/>
      <c r="M61" s="105"/>
      <c r="N61" s="105"/>
      <c r="O61" s="114"/>
      <c r="P61" s="104"/>
      <c r="Q61" s="105"/>
      <c r="R61" s="105"/>
      <c r="S61" s="105"/>
      <c r="T61" s="105"/>
      <c r="U61" s="114"/>
      <c r="V61" s="104"/>
      <c r="W61" s="105"/>
      <c r="X61" s="105"/>
      <c r="Y61" s="105"/>
      <c r="Z61" s="105"/>
      <c r="AA61" s="114"/>
      <c r="AB61" s="104"/>
      <c r="AC61" s="105"/>
      <c r="AD61" s="105"/>
      <c r="AE61" s="105"/>
      <c r="AF61" s="105"/>
      <c r="AG61" s="114"/>
      <c r="AH61" s="104"/>
      <c r="AI61" s="105"/>
      <c r="AJ61" s="105"/>
      <c r="AK61" s="105"/>
      <c r="AL61" s="105"/>
      <c r="AM61" s="114"/>
    </row>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paperSize="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B1:D8"/>
  <sheetViews>
    <sheetView topLeftCell="A3" workbookViewId="0">
      <selection activeCell="C7" sqref="C7"/>
    </sheetView>
  </sheetViews>
  <sheetFormatPr defaultColWidth="12.625" defaultRowHeight="15" customHeight="1" outlineLevelRow="7" outlineLevelCol="3"/>
  <cols>
    <col min="1" max="1" width="9.375" customWidth="1"/>
    <col min="2" max="2" width="21.125" customWidth="1"/>
    <col min="3" max="3" width="61.375" customWidth="1"/>
    <col min="4" max="4" width="26.125" customWidth="1"/>
    <col min="5" max="26" width="9.375" customWidth="1"/>
  </cols>
  <sheetData>
    <row r="1" ht="23.25" spans="2:2">
      <c r="B1" s="86" t="s">
        <v>146</v>
      </c>
    </row>
    <row r="2" spans="2:4">
      <c r="B2" s="64"/>
      <c r="C2" s="64"/>
      <c r="D2" s="64"/>
    </row>
    <row r="3" ht="25.5" spans="2:4">
      <c r="B3" s="87"/>
      <c r="C3" s="88" t="s">
        <v>147</v>
      </c>
      <c r="D3" s="88" t="s">
        <v>130</v>
      </c>
    </row>
    <row r="4" ht="51" spans="2:4">
      <c r="B4" s="89" t="s">
        <v>148</v>
      </c>
      <c r="C4" s="90" t="s">
        <v>149</v>
      </c>
      <c r="D4" s="91">
        <v>0.2</v>
      </c>
    </row>
    <row r="5" ht="51" spans="2:4">
      <c r="B5" s="92" t="s">
        <v>150</v>
      </c>
      <c r="C5" s="93" t="s">
        <v>151</v>
      </c>
      <c r="D5" s="94">
        <v>0.4</v>
      </c>
    </row>
    <row r="6" ht="51" spans="2:4">
      <c r="B6" s="95" t="s">
        <v>152</v>
      </c>
      <c r="C6" s="93" t="s">
        <v>153</v>
      </c>
      <c r="D6" s="94">
        <v>0.6</v>
      </c>
    </row>
    <row r="7" ht="76.5" spans="2:4">
      <c r="B7" s="96" t="s">
        <v>154</v>
      </c>
      <c r="C7" s="93" t="s">
        <v>155</v>
      </c>
      <c r="D7" s="94">
        <v>0.8</v>
      </c>
    </row>
    <row r="8" ht="51" spans="2:4">
      <c r="B8" s="97" t="s">
        <v>156</v>
      </c>
      <c r="C8" s="93" t="s">
        <v>157</v>
      </c>
      <c r="D8" s="94">
        <v>1</v>
      </c>
    </row>
  </sheetData>
  <mergeCells count="1">
    <mergeCell ref="B1:D1"/>
  </mergeCells>
  <pageMargins left="0.7" right="0.7" top="0.75" bottom="0.75" header="0" footer="0"/>
  <pageSetup paperSize="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6923C"/>
  </sheetPr>
  <dimension ref="A1:H224"/>
  <sheetViews>
    <sheetView zoomScale="70" zoomScaleNormal="70" topLeftCell="B2" workbookViewId="0">
      <selection activeCell="C7" sqref="C7"/>
    </sheetView>
  </sheetViews>
  <sheetFormatPr defaultColWidth="12.625" defaultRowHeight="15" customHeight="1" outlineLevelCol="7"/>
  <cols>
    <col min="1" max="1" width="9.375" customWidth="1"/>
    <col min="2" max="2" width="35.375" customWidth="1"/>
    <col min="3" max="3" width="65.5" customWidth="1"/>
    <col min="4" max="4" width="118.125" customWidth="1"/>
    <col min="5" max="5" width="126.625" customWidth="1"/>
    <col min="6" max="26" width="9.375" customWidth="1"/>
  </cols>
  <sheetData>
    <row r="1" ht="33.75" spans="1:2">
      <c r="A1" s="64"/>
      <c r="B1" s="65" t="s">
        <v>158</v>
      </c>
    </row>
    <row r="2" spans="1:4">
      <c r="A2" s="64"/>
      <c r="B2" s="64"/>
      <c r="C2" s="64"/>
      <c r="D2" s="64"/>
    </row>
    <row r="3" ht="30" spans="1:4">
      <c r="A3" s="64"/>
      <c r="B3" s="66"/>
      <c r="C3" s="67" t="s">
        <v>159</v>
      </c>
      <c r="D3" s="67" t="s">
        <v>160</v>
      </c>
    </row>
    <row r="4" ht="33.75" spans="1:4">
      <c r="A4" s="68" t="s">
        <v>161</v>
      </c>
      <c r="B4" s="69" t="s">
        <v>162</v>
      </c>
      <c r="C4" s="70" t="s">
        <v>163</v>
      </c>
      <c r="D4" s="71" t="s">
        <v>61</v>
      </c>
    </row>
    <row r="5" ht="67.5" spans="1:4">
      <c r="A5" s="68" t="s">
        <v>164</v>
      </c>
      <c r="B5" s="72" t="s">
        <v>165</v>
      </c>
      <c r="C5" s="73" t="s">
        <v>166</v>
      </c>
      <c r="D5" s="74" t="s">
        <v>167</v>
      </c>
    </row>
    <row r="6" ht="67.5" spans="1:4">
      <c r="A6" s="68" t="s">
        <v>136</v>
      </c>
      <c r="B6" s="75" t="s">
        <v>168</v>
      </c>
      <c r="C6" s="76" t="s">
        <v>169</v>
      </c>
      <c r="D6" s="77" t="s">
        <v>170</v>
      </c>
    </row>
    <row r="7" ht="67.5" spans="1:4">
      <c r="A7" s="68" t="s">
        <v>171</v>
      </c>
      <c r="B7" s="78" t="s">
        <v>172</v>
      </c>
      <c r="C7" s="73" t="s">
        <v>173</v>
      </c>
      <c r="D7" s="74" t="s">
        <v>174</v>
      </c>
    </row>
    <row r="8" ht="67.5" spans="1:4">
      <c r="A8" s="68" t="s">
        <v>175</v>
      </c>
      <c r="B8" s="79" t="s">
        <v>176</v>
      </c>
      <c r="C8" s="73" t="s">
        <v>177</v>
      </c>
      <c r="D8" s="74" t="s">
        <v>178</v>
      </c>
    </row>
    <row r="9" ht="20.25" spans="1:4">
      <c r="A9" s="68"/>
      <c r="B9" s="68"/>
      <c r="C9" s="80"/>
      <c r="D9" s="80"/>
    </row>
    <row r="10" ht="16.5" spans="1:4">
      <c r="A10" s="68"/>
      <c r="B10" s="81"/>
      <c r="C10" s="81"/>
      <c r="D10" s="81"/>
    </row>
    <row r="11" spans="1:4">
      <c r="A11" s="68"/>
      <c r="B11" s="68" t="s">
        <v>179</v>
      </c>
      <c r="C11" s="68" t="s">
        <v>180</v>
      </c>
      <c r="D11" s="68" t="s">
        <v>181</v>
      </c>
    </row>
    <row r="12" spans="1:4">
      <c r="A12" s="68"/>
      <c r="B12" s="68" t="s">
        <v>182</v>
      </c>
      <c r="C12" s="68" t="s">
        <v>183</v>
      </c>
      <c r="D12" s="68" t="s">
        <v>184</v>
      </c>
    </row>
    <row r="13" spans="1:4">
      <c r="A13" s="68"/>
      <c r="B13" s="68"/>
      <c r="C13" s="68" t="s">
        <v>185</v>
      </c>
      <c r="D13" s="68" t="s">
        <v>186</v>
      </c>
    </row>
    <row r="14" spans="1:4">
      <c r="A14" s="68"/>
      <c r="B14" s="68"/>
      <c r="C14" s="68" t="s">
        <v>187</v>
      </c>
      <c r="D14" s="68" t="s">
        <v>188</v>
      </c>
    </row>
    <row r="15" spans="1:4">
      <c r="A15" s="68"/>
      <c r="B15" s="68"/>
      <c r="C15" s="68" t="s">
        <v>189</v>
      </c>
      <c r="D15" s="68" t="s">
        <v>190</v>
      </c>
    </row>
    <row r="209" ht="15.75" customHeight="1" spans="2:5">
      <c r="B209" s="82" t="s">
        <v>191</v>
      </c>
      <c r="C209" s="82" t="s">
        <v>192</v>
      </c>
      <c r="D209" s="3" t="s">
        <v>191</v>
      </c>
      <c r="E209" s="3" t="s">
        <v>192</v>
      </c>
    </row>
    <row r="210" ht="15.75" customHeight="1" spans="2:8">
      <c r="B210" s="83" t="s">
        <v>193</v>
      </c>
      <c r="C210" s="83" t="s">
        <v>194</v>
      </c>
      <c r="D210" s="3" t="s">
        <v>193</v>
      </c>
      <c r="F210" s="3" t="str">
        <f t="shared" ref="F210:F221" si="0">IF(NOT(ISBLANK(D210)),D210,IF(NOT(ISBLANK(E210)),"     "&amp;E210,FALSE))</f>
        <v>Afectación Económica o presupuestal</v>
      </c>
      <c r="G210" s="3" t="s">
        <v>193</v>
      </c>
      <c r="H210" s="3" t="str">
        <f>IF(NOT(ISERROR(MATCH(G210,_xlfn.ANCHORARRAY(B221),0))),F223&amp;"Por favor no seleccionar los criterios de impacto",G210)</f>
        <v>Afectación Económica o presupuestal</v>
      </c>
    </row>
    <row r="211" ht="15.75" customHeight="1" spans="2:6">
      <c r="B211" s="83" t="s">
        <v>193</v>
      </c>
      <c r="C211" s="83" t="s">
        <v>166</v>
      </c>
      <c r="E211" s="3" t="s">
        <v>194</v>
      </c>
      <c r="F211" s="3" t="str">
        <f t="shared" si="0"/>
        <v>Afectación menor a 10 SMLMV .</v>
      </c>
    </row>
    <row r="212" ht="15.75" customHeight="1" spans="2:6">
      <c r="B212" s="83" t="s">
        <v>193</v>
      </c>
      <c r="C212" s="83" t="s">
        <v>169</v>
      </c>
      <c r="E212" s="3" t="s">
        <v>166</v>
      </c>
      <c r="F212" s="3" t="str">
        <f t="shared" si="0"/>
        <v>Entre 10 y 50 SMLMV</v>
      </c>
    </row>
    <row r="213" ht="15.75" customHeight="1" spans="2:6">
      <c r="B213" s="83" t="s">
        <v>193</v>
      </c>
      <c r="C213" s="83" t="s">
        <v>173</v>
      </c>
      <c r="E213" s="3" t="s">
        <v>169</v>
      </c>
      <c r="F213" s="3" t="str">
        <f t="shared" si="0"/>
        <v>Entre 50 y 100 SMLMV</v>
      </c>
    </row>
    <row r="214" ht="15.75" customHeight="1" spans="2:6">
      <c r="B214" s="83" t="s">
        <v>193</v>
      </c>
      <c r="C214" s="83" t="s">
        <v>177</v>
      </c>
      <c r="E214" s="3" t="s">
        <v>173</v>
      </c>
      <c r="F214" s="3" t="str">
        <f t="shared" si="0"/>
        <v>Entre 100 y 500 SMLMV</v>
      </c>
    </row>
    <row r="215" ht="15.75" customHeight="1" spans="2:6">
      <c r="B215" s="83" t="s">
        <v>160</v>
      </c>
      <c r="C215" s="83" t="s">
        <v>61</v>
      </c>
      <c r="E215" s="3" t="s">
        <v>177</v>
      </c>
      <c r="F215" s="3" t="str">
        <f t="shared" si="0"/>
        <v>Mayor a 500 SMLMV</v>
      </c>
    </row>
    <row r="216" ht="15.75" customHeight="1" spans="2:6">
      <c r="B216" s="83" t="s">
        <v>160</v>
      </c>
      <c r="C216" s="83" t="s">
        <v>167</v>
      </c>
      <c r="D216" s="3" t="s">
        <v>160</v>
      </c>
      <c r="F216" s="3" t="str">
        <f t="shared" si="0"/>
        <v>Pérdida Reputacional</v>
      </c>
    </row>
    <row r="217" ht="15.75" customHeight="1" spans="2:6">
      <c r="B217" s="83" t="s">
        <v>160</v>
      </c>
      <c r="C217" s="83" t="s">
        <v>74</v>
      </c>
      <c r="E217" s="3" t="s">
        <v>61</v>
      </c>
      <c r="F217" s="3" t="str">
        <f t="shared" si="0"/>
        <v>El riesgo afecta la imagen de alguna área de la organización</v>
      </c>
    </row>
    <row r="218" ht="15.75" customHeight="1" spans="2:6">
      <c r="B218" s="83" t="s">
        <v>160</v>
      </c>
      <c r="C218" s="83" t="s">
        <v>195</v>
      </c>
      <c r="E218" s="3" t="s">
        <v>167</v>
      </c>
      <c r="F218" s="3" t="str">
        <f t="shared" si="0"/>
        <v>El riesgo afecta la imagen de la entidad internamente, de conocimiento general, nivel interno, de junta dircetiva y accionistas y/o de provedores</v>
      </c>
    </row>
    <row r="219" ht="15.75" customHeight="1" spans="2:6">
      <c r="B219" s="83" t="s">
        <v>160</v>
      </c>
      <c r="C219" s="83" t="s">
        <v>178</v>
      </c>
      <c r="E219" s="3" t="s">
        <v>74</v>
      </c>
      <c r="F219" s="3" t="str">
        <f t="shared" si="0"/>
        <v>El riesgo afecta la imagen de la entidad con algunos usuarios de relevancia frente al logro de los objetivos</v>
      </c>
    </row>
    <row r="220" ht="15.75" customHeight="1" spans="2:6">
      <c r="B220" s="84"/>
      <c r="C220" s="84"/>
      <c r="E220" s="3" t="s">
        <v>195</v>
      </c>
      <c r="F220" s="3" t="str">
        <f t="shared" si="0"/>
        <v>El riesgo afecta la imagen de de la entidad con efecto publicitario sostenido a nivel de sector administrativo, nivel departamental o municipal</v>
      </c>
    </row>
    <row r="221" ht="15.75" customHeight="1" spans="2:6">
      <c r="B221" s="84" t="str">
        <f>IFERROR(__xludf.DUMMYFUNCTION("ARRAY_CONSTRAIN(ARRAYFORMULA(UNIQUE('Tabla Impacto'!$B$209:$B$219)), 3, 1)"),"Criterios")</f>
        <v>Criterios</v>
      </c>
      <c r="C221" s="84"/>
      <c r="E221" s="3" t="s">
        <v>178</v>
      </c>
      <c r="F221" s="3" t="str">
        <f t="shared" si="0"/>
        <v>El riesgo afecta la imagen de la entidad a nivel nacional, con efecto publicitarios sostenible a nivel país</v>
      </c>
    </row>
    <row r="222" ht="15.75" customHeight="1" spans="2:3">
      <c r="B222" s="84" t="str">
        <f>IFERROR(__xludf.DUMMYFUNCTION("""COMPUTED_VALUE"""),"Afectación Económica o presupuestal")</f>
        <v>Afectación Económica o presupuestal</v>
      </c>
      <c r="C222" s="84"/>
    </row>
    <row r="223" ht="15.75" customHeight="1" spans="2:6">
      <c r="B223" s="84" t="str">
        <f>IFERROR(__xludf.DUMMYFUNCTION("""COMPUTED_VALUE"""),"Pérdida Reputacional")</f>
        <v>Pérdida Reputacional</v>
      </c>
      <c r="C223" s="84"/>
      <c r="F223" s="85" t="s">
        <v>196</v>
      </c>
    </row>
    <row r="224" ht="15.75" customHeight="1" spans="2:6">
      <c r="B224" s="3"/>
      <c r="C224" s="3"/>
      <c r="F224" s="85" t="s">
        <v>197</v>
      </c>
    </row>
  </sheetData>
  <mergeCells count="1">
    <mergeCell ref="B1:D1"/>
  </mergeCells>
  <dataValidations count="1">
    <dataValidation type="list" allowBlank="1" showErrorMessage="1" sqref="G210">
      <formula1>$F$210:$F$221</formula1>
    </dataValidation>
  </dataValidations>
  <pageMargins left="0.7" right="0.7" top="0.75" bottom="0.75" header="0" footer="0"/>
  <pageSetup paperSize="1" orientation="portrait"/>
  <headerFooter/>
  <tableParts count="1">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5F497A"/>
  </sheetPr>
  <dimension ref="B1:F15"/>
  <sheetViews>
    <sheetView workbookViewId="0">
      <selection activeCell="E7" sqref="E7"/>
    </sheetView>
  </sheetViews>
  <sheetFormatPr defaultColWidth="12.625" defaultRowHeight="15" customHeight="1" outlineLevelCol="5"/>
  <cols>
    <col min="1" max="2" width="12.5" customWidth="1"/>
    <col min="3" max="3" width="14.875" customWidth="1"/>
    <col min="4" max="4" width="12.5" customWidth="1"/>
    <col min="5" max="5" width="40.25" customWidth="1"/>
    <col min="6" max="26" width="12.5" customWidth="1"/>
  </cols>
  <sheetData>
    <row r="1" ht="24" customHeight="1" spans="2:6">
      <c r="B1" s="34" t="s">
        <v>198</v>
      </c>
      <c r="C1" s="35"/>
      <c r="D1" s="35"/>
      <c r="E1" s="35"/>
      <c r="F1" s="36"/>
    </row>
    <row r="2" ht="12.75" customHeight="1" spans="2:6">
      <c r="B2" s="37"/>
      <c r="C2" s="37"/>
      <c r="D2" s="37"/>
      <c r="E2" s="37"/>
      <c r="F2" s="37"/>
    </row>
    <row r="3" ht="12.75" customHeight="1" spans="2:6">
      <c r="B3" s="38" t="s">
        <v>199</v>
      </c>
      <c r="C3" s="35"/>
      <c r="D3" s="39"/>
      <c r="E3" s="40" t="s">
        <v>200</v>
      </c>
      <c r="F3" s="41" t="s">
        <v>201</v>
      </c>
    </row>
    <row r="4" ht="12.75" customHeight="1" spans="2:6">
      <c r="B4" s="42" t="s">
        <v>202</v>
      </c>
      <c r="C4" s="43" t="s">
        <v>50</v>
      </c>
      <c r="D4" s="44" t="s">
        <v>63</v>
      </c>
      <c r="E4" s="45" t="s">
        <v>203</v>
      </c>
      <c r="F4" s="46">
        <v>0.25</v>
      </c>
    </row>
    <row r="5" ht="12.75" customHeight="1" spans="2:6">
      <c r="B5" s="47"/>
      <c r="C5" s="48"/>
      <c r="D5" s="49" t="s">
        <v>204</v>
      </c>
      <c r="E5" s="50" t="s">
        <v>205</v>
      </c>
      <c r="F5" s="51">
        <v>0.15</v>
      </c>
    </row>
    <row r="6" ht="12.75" customHeight="1" spans="2:6">
      <c r="B6" s="47"/>
      <c r="C6" s="52"/>
      <c r="D6" s="49" t="s">
        <v>206</v>
      </c>
      <c r="E6" s="50" t="s">
        <v>207</v>
      </c>
      <c r="F6" s="51">
        <v>0.1</v>
      </c>
    </row>
    <row r="7" ht="12.75" customHeight="1" spans="2:6">
      <c r="B7" s="47"/>
      <c r="C7" s="53" t="s">
        <v>51</v>
      </c>
      <c r="D7" s="49" t="s">
        <v>70</v>
      </c>
      <c r="E7" s="50" t="s">
        <v>208</v>
      </c>
      <c r="F7" s="51">
        <v>0.25</v>
      </c>
    </row>
    <row r="8" ht="12.75" customHeight="1" spans="2:6">
      <c r="B8" s="54"/>
      <c r="C8" s="52"/>
      <c r="D8" s="49" t="s">
        <v>64</v>
      </c>
      <c r="E8" s="50" t="s">
        <v>209</v>
      </c>
      <c r="F8" s="51">
        <v>0.15</v>
      </c>
    </row>
    <row r="9" ht="12.75" customHeight="1" spans="2:6">
      <c r="B9" s="55" t="s">
        <v>210</v>
      </c>
      <c r="C9" s="53" t="s">
        <v>53</v>
      </c>
      <c r="D9" s="49" t="s">
        <v>65</v>
      </c>
      <c r="E9" s="50" t="s">
        <v>211</v>
      </c>
      <c r="F9" s="56" t="s">
        <v>212</v>
      </c>
    </row>
    <row r="10" ht="12.75" customHeight="1" spans="2:6">
      <c r="B10" s="47"/>
      <c r="C10" s="52"/>
      <c r="D10" s="49" t="s">
        <v>213</v>
      </c>
      <c r="E10" s="50" t="s">
        <v>214</v>
      </c>
      <c r="F10" s="56" t="s">
        <v>212</v>
      </c>
    </row>
    <row r="11" ht="12.75" customHeight="1" spans="2:6">
      <c r="B11" s="47"/>
      <c r="C11" s="53" t="s">
        <v>54</v>
      </c>
      <c r="D11" s="49" t="s">
        <v>66</v>
      </c>
      <c r="E11" s="50" t="s">
        <v>215</v>
      </c>
      <c r="F11" s="56" t="s">
        <v>212</v>
      </c>
    </row>
    <row r="12" ht="12.75" customHeight="1" spans="2:6">
      <c r="B12" s="47"/>
      <c r="C12" s="52"/>
      <c r="D12" s="49" t="s">
        <v>216</v>
      </c>
      <c r="E12" s="50" t="s">
        <v>217</v>
      </c>
      <c r="F12" s="56" t="s">
        <v>212</v>
      </c>
    </row>
    <row r="13" ht="12.75" customHeight="1" spans="2:6">
      <c r="B13" s="47"/>
      <c r="C13" s="53" t="s">
        <v>55</v>
      </c>
      <c r="D13" s="49" t="s">
        <v>67</v>
      </c>
      <c r="E13" s="50" t="s">
        <v>218</v>
      </c>
      <c r="F13" s="56" t="s">
        <v>212</v>
      </c>
    </row>
    <row r="14" ht="12.75" customHeight="1" spans="2:6">
      <c r="B14" s="57"/>
      <c r="C14" s="58"/>
      <c r="D14" s="59" t="s">
        <v>219</v>
      </c>
      <c r="E14" s="60" t="s">
        <v>220</v>
      </c>
      <c r="F14" s="61" t="s">
        <v>212</v>
      </c>
    </row>
    <row r="15" ht="49.5" customHeight="1" spans="2:6">
      <c r="B15" s="62" t="s">
        <v>221</v>
      </c>
      <c r="C15" s="63"/>
      <c r="D15" s="63"/>
      <c r="E15" s="63"/>
      <c r="F15" s="63"/>
    </row>
  </sheetData>
  <mergeCells count="10">
    <mergeCell ref="B1:F1"/>
    <mergeCell ref="B3:D3"/>
    <mergeCell ref="B15:F15"/>
    <mergeCell ref="B4:B8"/>
    <mergeCell ref="B9:B14"/>
    <mergeCell ref="C4:C6"/>
    <mergeCell ref="C7:C8"/>
    <mergeCell ref="C9:C10"/>
    <mergeCell ref="C11:C12"/>
    <mergeCell ref="C13:C14"/>
  </mergeCells>
  <pageMargins left="0.7" right="0.7" top="0.75" bottom="0.75" header="0" footer="0"/>
  <pageSetup paperSize="1"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L15"/>
  <sheetViews>
    <sheetView workbookViewId="0">
      <selection activeCell="F19" sqref="F19"/>
    </sheetView>
  </sheetViews>
  <sheetFormatPr defaultColWidth="11" defaultRowHeight="14.25"/>
  <sheetData>
    <row r="2" spans="2:12">
      <c r="B2" s="4"/>
      <c r="C2" s="5" t="s">
        <v>222</v>
      </c>
      <c r="D2" s="5"/>
      <c r="E2" s="5"/>
      <c r="F2" s="5"/>
      <c r="G2" s="5"/>
      <c r="H2" s="5"/>
      <c r="I2" s="5"/>
      <c r="J2" s="5"/>
      <c r="K2" s="5"/>
      <c r="L2" s="5"/>
    </row>
    <row r="3" ht="15" spans="2:12">
      <c r="B3" s="4"/>
      <c r="C3" s="6"/>
      <c r="G3" s="4"/>
      <c r="H3" s="4"/>
      <c r="I3" s="4"/>
      <c r="J3" s="4"/>
      <c r="K3" s="4"/>
      <c r="L3" s="4"/>
    </row>
    <row r="4" spans="2:12">
      <c r="B4" s="7" t="s">
        <v>223</v>
      </c>
      <c r="C4" s="8"/>
      <c r="D4" s="8" t="s">
        <v>224</v>
      </c>
      <c r="E4" s="8"/>
      <c r="F4" s="8"/>
      <c r="G4" s="8"/>
      <c r="H4" s="8" t="s">
        <v>225</v>
      </c>
      <c r="I4" s="8"/>
      <c r="J4" s="8"/>
      <c r="K4" s="8" t="s">
        <v>226</v>
      </c>
      <c r="L4" s="30"/>
    </row>
    <row r="5" ht="17.25" spans="2:12">
      <c r="B5" s="9"/>
      <c r="C5" s="10"/>
      <c r="D5" s="11"/>
      <c r="E5" s="11"/>
      <c r="F5" s="11"/>
      <c r="G5" s="11"/>
      <c r="H5" s="12"/>
      <c r="I5" s="12"/>
      <c r="J5" s="12"/>
      <c r="K5" s="12"/>
      <c r="L5" s="31"/>
    </row>
    <row r="6" ht="16.5" spans="2:12">
      <c r="B6" s="4"/>
      <c r="C6" s="13"/>
      <c r="G6" s="4"/>
      <c r="H6" s="4"/>
      <c r="I6" s="4"/>
      <c r="J6" s="4"/>
      <c r="K6" s="4"/>
      <c r="L6" s="4"/>
    </row>
    <row r="7" ht="17.25" spans="2:12">
      <c r="B7" s="4"/>
      <c r="C7" s="13"/>
      <c r="G7" s="4"/>
      <c r="H7" s="4"/>
      <c r="I7" s="4"/>
      <c r="J7" s="4"/>
      <c r="K7" s="4"/>
      <c r="L7" s="4"/>
    </row>
    <row r="8" spans="2:12">
      <c r="B8" s="14" t="s">
        <v>227</v>
      </c>
      <c r="C8" s="15"/>
      <c r="D8" s="15"/>
      <c r="E8" s="16"/>
      <c r="F8" s="14" t="s">
        <v>228</v>
      </c>
      <c r="G8" s="15"/>
      <c r="H8" s="15"/>
      <c r="I8" s="16"/>
      <c r="J8" s="14" t="s">
        <v>229</v>
      </c>
      <c r="K8" s="15"/>
      <c r="L8" s="16"/>
    </row>
    <row r="9" spans="2:12">
      <c r="B9" s="17"/>
      <c r="C9" s="18"/>
      <c r="D9" s="18"/>
      <c r="E9" s="19"/>
      <c r="F9" s="20"/>
      <c r="G9" s="21"/>
      <c r="H9" s="21"/>
      <c r="I9" s="32"/>
      <c r="J9" s="20"/>
      <c r="K9" s="21"/>
      <c r="L9" s="32"/>
    </row>
    <row r="10" spans="2:12">
      <c r="B10" s="17"/>
      <c r="C10" s="18"/>
      <c r="D10" s="18"/>
      <c r="E10" s="19"/>
      <c r="F10" s="20"/>
      <c r="G10" s="21"/>
      <c r="H10" s="21"/>
      <c r="I10" s="32"/>
      <c r="J10" s="20"/>
      <c r="K10" s="21"/>
      <c r="L10" s="32"/>
    </row>
    <row r="11" spans="2:12">
      <c r="B11" s="17"/>
      <c r="C11" s="18"/>
      <c r="D11" s="18"/>
      <c r="E11" s="19"/>
      <c r="F11" s="20"/>
      <c r="G11" s="21"/>
      <c r="H11" s="21"/>
      <c r="I11" s="32"/>
      <c r="J11" s="20"/>
      <c r="K11" s="21"/>
      <c r="L11" s="32"/>
    </row>
    <row r="12" spans="2:12">
      <c r="B12" s="17"/>
      <c r="C12" s="18"/>
      <c r="D12" s="18"/>
      <c r="E12" s="19"/>
      <c r="F12" s="20"/>
      <c r="G12" s="21"/>
      <c r="H12" s="21"/>
      <c r="I12" s="32"/>
      <c r="J12" s="20"/>
      <c r="K12" s="21"/>
      <c r="L12" s="32"/>
    </row>
    <row r="13" spans="2:12">
      <c r="B13" s="22" t="s">
        <v>230</v>
      </c>
      <c r="C13" s="23"/>
      <c r="D13" s="23"/>
      <c r="E13" s="24"/>
      <c r="F13" s="22" t="s">
        <v>231</v>
      </c>
      <c r="G13" s="23"/>
      <c r="H13" s="23"/>
      <c r="I13" s="24"/>
      <c r="J13" s="22" t="s">
        <v>232</v>
      </c>
      <c r="K13" s="23"/>
      <c r="L13" s="24"/>
    </row>
    <row r="14" spans="2:12">
      <c r="B14" s="22" t="s">
        <v>233</v>
      </c>
      <c r="C14" s="23"/>
      <c r="D14" s="23"/>
      <c r="E14" s="24"/>
      <c r="F14" s="22" t="s">
        <v>234</v>
      </c>
      <c r="G14" s="23"/>
      <c r="H14" s="23"/>
      <c r="I14" s="24"/>
      <c r="J14" s="22" t="s">
        <v>235</v>
      </c>
      <c r="K14" s="23"/>
      <c r="L14" s="24"/>
    </row>
    <row r="15" ht="15" spans="2:12">
      <c r="B15" s="25"/>
      <c r="C15" s="26"/>
      <c r="D15" s="26"/>
      <c r="E15" s="27"/>
      <c r="F15" s="28"/>
      <c r="G15" s="29"/>
      <c r="H15" s="29"/>
      <c r="I15" s="33"/>
      <c r="J15" s="25"/>
      <c r="K15" s="26"/>
      <c r="L15" s="27"/>
    </row>
  </sheetData>
  <mergeCells count="33">
    <mergeCell ref="C2:L2"/>
    <mergeCell ref="B4:C4"/>
    <mergeCell ref="D4:G4"/>
    <mergeCell ref="H4:J4"/>
    <mergeCell ref="K4:L4"/>
    <mergeCell ref="B5:C5"/>
    <mergeCell ref="D5:G5"/>
    <mergeCell ref="H5:J5"/>
    <mergeCell ref="K5:L5"/>
    <mergeCell ref="B8:E8"/>
    <mergeCell ref="F8:I8"/>
    <mergeCell ref="J8:L8"/>
    <mergeCell ref="B9:E9"/>
    <mergeCell ref="F9:I9"/>
    <mergeCell ref="J9:L9"/>
    <mergeCell ref="B10:E10"/>
    <mergeCell ref="F10:I10"/>
    <mergeCell ref="J10:L10"/>
    <mergeCell ref="B11:E11"/>
    <mergeCell ref="F11:I11"/>
    <mergeCell ref="J11:L11"/>
    <mergeCell ref="B12:E12"/>
    <mergeCell ref="F12:I12"/>
    <mergeCell ref="J12:L12"/>
    <mergeCell ref="B13:E13"/>
    <mergeCell ref="F13:I13"/>
    <mergeCell ref="J13:L13"/>
    <mergeCell ref="B14:E14"/>
    <mergeCell ref="F14:I14"/>
    <mergeCell ref="J14:L14"/>
    <mergeCell ref="B15:E15"/>
    <mergeCell ref="F15:I15"/>
    <mergeCell ref="J15:L1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E19"/>
  <sheetViews>
    <sheetView workbookViewId="0">
      <selection activeCell="A1" sqref="A1"/>
    </sheetView>
  </sheetViews>
  <sheetFormatPr defaultColWidth="12.625" defaultRowHeight="15" customHeight="1" outlineLevelCol="4"/>
  <cols>
    <col min="1" max="26" width="9.375" customWidth="1"/>
  </cols>
  <sheetData>
    <row r="2" customHeight="1" spans="2:5">
      <c r="B2" s="3" t="s">
        <v>68</v>
      </c>
      <c r="E2" s="3" t="s">
        <v>236</v>
      </c>
    </row>
    <row r="3" customHeight="1" spans="2:5">
      <c r="B3" s="3" t="s">
        <v>237</v>
      </c>
      <c r="E3" s="3" t="s">
        <v>238</v>
      </c>
    </row>
    <row r="4" customHeight="1" spans="2:5">
      <c r="B4" s="3" t="s">
        <v>239</v>
      </c>
      <c r="E4" s="3" t="s">
        <v>56</v>
      </c>
    </row>
    <row r="5" customHeight="1" spans="2:2">
      <c r="B5" s="3" t="s">
        <v>240</v>
      </c>
    </row>
    <row r="8" customHeight="1" spans="2:2">
      <c r="B8" s="3" t="s">
        <v>241</v>
      </c>
    </row>
    <row r="9" customHeight="1" spans="2:2">
      <c r="B9" s="3" t="s">
        <v>242</v>
      </c>
    </row>
    <row r="10" customHeight="1" spans="2:2">
      <c r="B10" s="3" t="s">
        <v>243</v>
      </c>
    </row>
    <row r="13" customHeight="1" spans="2:2">
      <c r="B13" s="3" t="s">
        <v>244</v>
      </c>
    </row>
    <row r="14" customHeight="1" spans="2:2">
      <c r="B14" s="3" t="s">
        <v>60</v>
      </c>
    </row>
    <row r="15" customHeight="1" spans="2:2">
      <c r="B15" s="3" t="s">
        <v>245</v>
      </c>
    </row>
    <row r="16" customHeight="1" spans="2:2">
      <c r="B16" s="3" t="s">
        <v>246</v>
      </c>
    </row>
    <row r="17" customHeight="1" spans="2:2">
      <c r="B17" s="3" t="s">
        <v>247</v>
      </c>
    </row>
    <row r="18" customHeight="1" spans="2:2">
      <c r="B18" s="3" t="s">
        <v>248</v>
      </c>
    </row>
    <row r="19" customHeight="1" spans="2:2">
      <c r="B19" s="3" t="s">
        <v>249</v>
      </c>
    </row>
  </sheetData>
  <pageMargins left="0.7" right="0.7" top="0.75" bottom="0.75" header="0" footer="0"/>
  <pageSetup paperSize="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1"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10" master="" otherUserPermission="visible"/>
  <rangeList sheetStid="8"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Mapa final</vt:lpstr>
      <vt:lpstr>Intructivo</vt:lpstr>
      <vt:lpstr>Matriz Calor Inherente</vt:lpstr>
      <vt:lpstr>Matriz Calor Residual</vt:lpstr>
      <vt:lpstr>Tabla probabilidad</vt:lpstr>
      <vt:lpstr>Tabla Impacto</vt:lpstr>
      <vt:lpstr>Tabla Valoración controles</vt:lpstr>
      <vt:lpstr>CONTROL DE CAMBIOS</vt:lpstr>
      <vt:lpstr>Opciones Tratamiento</vt:lpstr>
      <vt:lpstr>Hoja1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Inf_Técnicos</cp:lastModifiedBy>
  <dcterms:created xsi:type="dcterms:W3CDTF">2020-03-24T23:12:00Z</dcterms:created>
  <cp:lastPrinted>2023-11-30T22:01:00Z</cp:lastPrinted>
  <dcterms:modified xsi:type="dcterms:W3CDTF">2025-05-13T17:57:29Z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E9038B3FEE874A4AACF7C1AC6642285E_12</vt:lpwstr>
  </property>
  <property fmtid="{D5CDD505-2E9C-101B-9397-08002B2CF9AE}" pid="3" name="KSOProductBuildVer">
    <vt:lpwstr>3082-12.2.0.20795</vt:lpwstr>
  </property>
</Properties>
</file>